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5100" windowWidth="21660" windowHeight="5160" tabRatio="662" activeTab="2"/>
  </bookViews>
  <sheets>
    <sheet name="capa" sheetId="13" r:id="rId1"/>
    <sheet name="resumo " sheetId="6" r:id="rId2"/>
    <sheet name="demonstrativo" sheetId="11" r:id="rId3"/>
    <sheet name="Ilum mão de obra" sheetId="17" r:id="rId4"/>
    <sheet name="estrutura" sheetId="4" r:id="rId5"/>
    <sheet name="ter" sheetId="16" r:id="rId6"/>
    <sheet name="pav" sheetId="5" r:id="rId7"/>
    <sheet name="dre" sheetId="7" r:id="rId8"/>
    <sheet name="compl" sheetId="9" r:id="rId9"/>
    <sheet name="estrutura met" sheetId="10" r:id="rId10"/>
    <sheet name="hidro" sheetId="20" r:id="rId11"/>
    <sheet name="ilum publ" sheetId="19" r:id="rId12"/>
    <sheet name="MÃODEOBRA" sheetId="18" r:id="rId13"/>
  </sheets>
  <externalReferences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3" hidden="1">'Ilum mão de obra'!$B$1:$K$64</definedName>
    <definedName name="_xlnm.Print_Area" localSheetId="0">capa!$B$1:$E$35</definedName>
    <definedName name="_xlnm.Print_Area" localSheetId="8">compl!$C$1:$AR$74</definedName>
    <definedName name="_xlnm.Print_Area" localSheetId="2">demonstrativo!$B$1:$G$1428</definedName>
    <definedName name="_xlnm.Print_Area" localSheetId="7">dre!$C$1:$AR$1460</definedName>
    <definedName name="_xlnm.Print_Area" localSheetId="4">estrutura!$C$1:$AR$439</definedName>
    <definedName name="_xlnm.Print_Area" localSheetId="9">'estrutura met'!$C$1:$AR$803</definedName>
    <definedName name="_xlnm.Print_Area" localSheetId="10">hidro!$C$1:$AR$219</definedName>
    <definedName name="_xlnm.Print_Area" localSheetId="3">'Ilum mão de obra'!$B$1:$K$65</definedName>
    <definedName name="_xlnm.Print_Area" localSheetId="11">'ilum publ'!$C$1:$AR$73</definedName>
    <definedName name="_xlnm.Print_Area" localSheetId="6">pav!$C$1:$AR$368</definedName>
    <definedName name="_xlnm.Print_Area" localSheetId="1">'resumo '!$B$1:$E$34</definedName>
    <definedName name="_xlnm.Print_Area" localSheetId="5">ter!$C$1:$AR$73</definedName>
    <definedName name="orcrig">#REF!</definedName>
    <definedName name="Resumo">#REF!</definedName>
    <definedName name="_xlnm.Print_Titles" localSheetId="3">'Ilum mão de obra'!$1:$3</definedName>
  </definedNames>
  <calcPr calcId="124519"/>
</workbook>
</file>

<file path=xl/calcChain.xml><?xml version="1.0" encoding="utf-8"?>
<calcChain xmlns="http://schemas.openxmlformats.org/spreadsheetml/2006/main">
  <c r="E171" i="11"/>
  <c r="E221" l="1"/>
  <c r="F221"/>
  <c r="F211"/>
  <c r="E211"/>
  <c r="E100"/>
  <c r="E164"/>
  <c r="E156"/>
  <c r="E148"/>
  <c r="E128"/>
  <c r="E119"/>
  <c r="E110"/>
  <c r="F164"/>
  <c r="F156"/>
  <c r="F148"/>
  <c r="F128"/>
  <c r="F119"/>
  <c r="F110"/>
  <c r="E101"/>
  <c r="F101"/>
  <c r="F92"/>
  <c r="E92"/>
  <c r="E182"/>
  <c r="E183" s="1"/>
  <c r="E181"/>
  <c r="E175"/>
  <c r="E176" s="1"/>
  <c r="E178"/>
  <c r="E179" s="1"/>
  <c r="F176"/>
  <c r="F179"/>
  <c r="F183"/>
  <c r="E184" l="1"/>
  <c r="G184" s="1"/>
  <c r="F173" l="1"/>
  <c r="E173"/>
  <c r="F171"/>
  <c r="E86"/>
  <c r="F180"/>
  <c r="F690"/>
  <c r="E64"/>
  <c r="F65"/>
  <c r="G65" s="1"/>
  <c r="F64"/>
  <c r="G64" s="1"/>
  <c r="E51"/>
  <c r="E52" s="1"/>
  <c r="F52"/>
  <c r="F51"/>
  <c r="G51" s="1"/>
  <c r="F436"/>
  <c r="F435"/>
  <c r="E435"/>
  <c r="E436" s="1"/>
  <c r="E432"/>
  <c r="E433"/>
  <c r="F433"/>
  <c r="F432"/>
  <c r="F182"/>
  <c r="F178"/>
  <c r="G178" s="1"/>
  <c r="F175"/>
  <c r="G175" s="1"/>
  <c r="E137"/>
  <c r="E131"/>
  <c r="G138"/>
  <c r="E122"/>
  <c r="E113"/>
  <c r="E104"/>
  <c r="E95"/>
  <c r="G151"/>
  <c r="G143"/>
  <c r="G159"/>
  <c r="G132"/>
  <c r="G123"/>
  <c r="G114"/>
  <c r="G105"/>
  <c r="G96"/>
  <c r="G87"/>
  <c r="AB365" i="5"/>
  <c r="AO351"/>
  <c r="AO350"/>
  <c r="AO349"/>
  <c r="AO348"/>
  <c r="AO347"/>
  <c r="AO346"/>
  <c r="AO345"/>
  <c r="AO352"/>
  <c r="AG333"/>
  <c r="AO333" s="1"/>
  <c r="AO340" s="1"/>
  <c r="AO332"/>
  <c r="AO331"/>
  <c r="AO316"/>
  <c r="AO315"/>
  <c r="AK323" s="1"/>
  <c r="AO323" s="1"/>
  <c r="AO324" s="1"/>
  <c r="AO306"/>
  <c r="AO305"/>
  <c r="AO311" s="1"/>
  <c r="AO304"/>
  <c r="AO303"/>
  <c r="AO242"/>
  <c r="AO232"/>
  <c r="AO231"/>
  <c r="AO230"/>
  <c r="AB291"/>
  <c r="AO277"/>
  <c r="AO276"/>
  <c r="AO275"/>
  <c r="AO274"/>
  <c r="AO273"/>
  <c r="AO272"/>
  <c r="AO271"/>
  <c r="AO278"/>
  <c r="AG259"/>
  <c r="AO259" s="1"/>
  <c r="AO266" s="1"/>
  <c r="AO258"/>
  <c r="AO257"/>
  <c r="AO241"/>
  <c r="AK249" s="1"/>
  <c r="AO249" s="1"/>
  <c r="AO250" s="1"/>
  <c r="AO252" s="1"/>
  <c r="AO253" s="1"/>
  <c r="AO229"/>
  <c r="AO237"/>
  <c r="F394" i="11"/>
  <c r="G245"/>
  <c r="F189"/>
  <c r="E398"/>
  <c r="F382"/>
  <c r="G382" s="1"/>
  <c r="F381"/>
  <c r="G381" s="1"/>
  <c r="F380"/>
  <c r="G380" s="1"/>
  <c r="F379"/>
  <c r="F378"/>
  <c r="G378" s="1"/>
  <c r="F377"/>
  <c r="G377" s="1"/>
  <c r="F376"/>
  <c r="G376" s="1"/>
  <c r="F374"/>
  <c r="F372"/>
  <c r="G372" s="1"/>
  <c r="F370"/>
  <c r="G370" s="1"/>
  <c r="F369"/>
  <c r="G369" s="1"/>
  <c r="F365"/>
  <c r="G365" s="1"/>
  <c r="F364"/>
  <c r="F363"/>
  <c r="G363" s="1"/>
  <c r="F362"/>
  <c r="F361"/>
  <c r="G361" s="1"/>
  <c r="F360"/>
  <c r="F359"/>
  <c r="G359" s="1"/>
  <c r="F357"/>
  <c r="F355"/>
  <c r="G355" s="1"/>
  <c r="F353"/>
  <c r="G353" s="1"/>
  <c r="F352"/>
  <c r="G352" s="1"/>
  <c r="G349"/>
  <c r="F348"/>
  <c r="G348" s="1"/>
  <c r="F347"/>
  <c r="G347" s="1"/>
  <c r="F346"/>
  <c r="G346" s="1"/>
  <c r="F345"/>
  <c r="G345" s="1"/>
  <c r="F344"/>
  <c r="G344" s="1"/>
  <c r="F343"/>
  <c r="G343" s="1"/>
  <c r="F342"/>
  <c r="G342" s="1"/>
  <c r="F340"/>
  <c r="G340" s="1"/>
  <c r="F338"/>
  <c r="G338" s="1"/>
  <c r="F336"/>
  <c r="G336" s="1"/>
  <c r="F335"/>
  <c r="G335" s="1"/>
  <c r="G332"/>
  <c r="F331"/>
  <c r="G331" s="1"/>
  <c r="F330"/>
  <c r="G330" s="1"/>
  <c r="F329"/>
  <c r="G329" s="1"/>
  <c r="F328"/>
  <c r="G328" s="1"/>
  <c r="F327"/>
  <c r="G327"/>
  <c r="F326"/>
  <c r="G326" s="1"/>
  <c r="F325"/>
  <c r="G325" s="1"/>
  <c r="F323"/>
  <c r="G323" s="1"/>
  <c r="F321"/>
  <c r="G321" s="1"/>
  <c r="F319"/>
  <c r="G319" s="1"/>
  <c r="F318"/>
  <c r="G318" s="1"/>
  <c r="F312"/>
  <c r="G312" s="1"/>
  <c r="G297"/>
  <c r="F296"/>
  <c r="G296" s="1"/>
  <c r="F295"/>
  <c r="G295" s="1"/>
  <c r="F294"/>
  <c r="G294" s="1"/>
  <c r="F293"/>
  <c r="G293" s="1"/>
  <c r="F292"/>
  <c r="G292" s="1"/>
  <c r="F291"/>
  <c r="G291" s="1"/>
  <c r="F290"/>
  <c r="G290" s="1"/>
  <c r="F288"/>
  <c r="G288" s="1"/>
  <c r="F286"/>
  <c r="G286" s="1"/>
  <c r="F284"/>
  <c r="G284" s="1"/>
  <c r="F283"/>
  <c r="G283" s="1"/>
  <c r="F276"/>
  <c r="G276" s="1"/>
  <c r="G262"/>
  <c r="F261"/>
  <c r="G261" s="1"/>
  <c r="F260"/>
  <c r="G260" s="1"/>
  <c r="F259"/>
  <c r="G259" s="1"/>
  <c r="F258"/>
  <c r="G258" s="1"/>
  <c r="F257"/>
  <c r="G257" s="1"/>
  <c r="F256"/>
  <c r="G256" s="1"/>
  <c r="F255"/>
  <c r="G255" s="1"/>
  <c r="F253"/>
  <c r="G253" s="1"/>
  <c r="F251"/>
  <c r="G251" s="1"/>
  <c r="F249"/>
  <c r="G249" s="1"/>
  <c r="F248"/>
  <c r="G248" s="1"/>
  <c r="F242"/>
  <c r="G242" s="1"/>
  <c r="F227"/>
  <c r="G227" s="1"/>
  <c r="F226"/>
  <c r="G226" s="1"/>
  <c r="F225"/>
  <c r="G225" s="1"/>
  <c r="F224"/>
  <c r="F223"/>
  <c r="G223" s="1"/>
  <c r="F222"/>
  <c r="G222" s="1"/>
  <c r="G221"/>
  <c r="F220"/>
  <c r="G220" s="1"/>
  <c r="F219"/>
  <c r="G219" s="1"/>
  <c r="F217"/>
  <c r="F216"/>
  <c r="G216" s="1"/>
  <c r="F215"/>
  <c r="F214"/>
  <c r="F213"/>
  <c r="F212"/>
  <c r="G212" s="1"/>
  <c r="F210"/>
  <c r="G210" s="1"/>
  <c r="F209"/>
  <c r="G209" s="1"/>
  <c r="F203"/>
  <c r="G374"/>
  <c r="G379"/>
  <c r="G383"/>
  <c r="G357"/>
  <c r="G360"/>
  <c r="G362"/>
  <c r="G364"/>
  <c r="G366"/>
  <c r="F619"/>
  <c r="G619" s="1"/>
  <c r="F604"/>
  <c r="G604" s="1"/>
  <c r="F587"/>
  <c r="G587" s="1"/>
  <c r="F586"/>
  <c r="G586" s="1"/>
  <c r="F577"/>
  <c r="G577" s="1"/>
  <c r="F565"/>
  <c r="G565" s="1"/>
  <c r="F510"/>
  <c r="G510" s="1"/>
  <c r="F676"/>
  <c r="G676" s="1"/>
  <c r="F659"/>
  <c r="G659" s="1"/>
  <c r="F590"/>
  <c r="G590" s="1"/>
  <c r="F617"/>
  <c r="G617" s="1"/>
  <c r="AB1457" i="7"/>
  <c r="AO1443"/>
  <c r="AO1442"/>
  <c r="AO1441"/>
  <c r="AO1440"/>
  <c r="AO1439"/>
  <c r="AO1438"/>
  <c r="AO1437"/>
  <c r="AO1444" s="1"/>
  <c r="AG1425"/>
  <c r="AO1425"/>
  <c r="AG1424"/>
  <c r="AO1424" s="1"/>
  <c r="AO1432" s="1"/>
  <c r="AK1408"/>
  <c r="AO1408" s="1"/>
  <c r="AK1416" s="1"/>
  <c r="AO1416" s="1"/>
  <c r="AO1417" s="1"/>
  <c r="AK1397"/>
  <c r="AG1397"/>
  <c r="AC1397"/>
  <c r="AK1396"/>
  <c r="AG1396"/>
  <c r="AC1396"/>
  <c r="F621" i="11"/>
  <c r="G621" s="1"/>
  <c r="F618"/>
  <c r="G618" s="1"/>
  <c r="F614"/>
  <c r="G614" s="1"/>
  <c r="AB1384" i="7"/>
  <c r="AO1370"/>
  <c r="AO1369"/>
  <c r="AO1368"/>
  <c r="AO1367"/>
  <c r="AO1366"/>
  <c r="AO1365"/>
  <c r="AO1364"/>
  <c r="AO1371"/>
  <c r="AG1352"/>
  <c r="AO1352" s="1"/>
  <c r="AO1359" s="1"/>
  <c r="AG1351"/>
  <c r="AO1351"/>
  <c r="AK1335"/>
  <c r="AO1335" s="1"/>
  <c r="AK1343" s="1"/>
  <c r="AO1343" s="1"/>
  <c r="AO1344" s="1"/>
  <c r="AK1324"/>
  <c r="AG1324"/>
  <c r="AC1324"/>
  <c r="AK1323"/>
  <c r="AG1323"/>
  <c r="AC1323"/>
  <c r="AB1311"/>
  <c r="AO1297"/>
  <c r="AO1296"/>
  <c r="AO1295"/>
  <c r="AO1294"/>
  <c r="AO1293"/>
  <c r="AO1292"/>
  <c r="AO1291"/>
  <c r="AO1298" s="1"/>
  <c r="AG1279"/>
  <c r="AO1279"/>
  <c r="AG1278"/>
  <c r="AO1278" s="1"/>
  <c r="AO1286" s="1"/>
  <c r="AK1262"/>
  <c r="AO1262" s="1"/>
  <c r="AK1251"/>
  <c r="AG1251"/>
  <c r="AC1251"/>
  <c r="AK1250"/>
  <c r="AG1250"/>
  <c r="AC1250"/>
  <c r="AB1238"/>
  <c r="AO1224"/>
  <c r="AO1223"/>
  <c r="AO1222"/>
  <c r="AO1221"/>
  <c r="AO1220"/>
  <c r="AO1219"/>
  <c r="AO1218"/>
  <c r="AO1225" s="1"/>
  <c r="AG1206"/>
  <c r="AO1206"/>
  <c r="AG1205"/>
  <c r="AO1205" s="1"/>
  <c r="AO1213" s="1"/>
  <c r="AK1189"/>
  <c r="AO1189" s="1"/>
  <c r="AK1178"/>
  <c r="AG1178"/>
  <c r="AC1178"/>
  <c r="AK1177"/>
  <c r="AG1177"/>
  <c r="AC1177"/>
  <c r="F589" i="11"/>
  <c r="G589" s="1"/>
  <c r="F623"/>
  <c r="G623" s="1"/>
  <c r="F606"/>
  <c r="G606" s="1"/>
  <c r="F593"/>
  <c r="G593" s="1"/>
  <c r="F579"/>
  <c r="G579" s="1"/>
  <c r="F567"/>
  <c r="G567" s="1"/>
  <c r="G594"/>
  <c r="F513"/>
  <c r="G513" s="1"/>
  <c r="G437"/>
  <c r="G434"/>
  <c r="G431"/>
  <c r="G430"/>
  <c r="G429"/>
  <c r="F622"/>
  <c r="G622" s="1"/>
  <c r="F605"/>
  <c r="G605" s="1"/>
  <c r="F592"/>
  <c r="G592" s="1"/>
  <c r="F578"/>
  <c r="G578" s="1"/>
  <c r="F566"/>
  <c r="G566" s="1"/>
  <c r="F620"/>
  <c r="G620" s="1"/>
  <c r="F591"/>
  <c r="G591" s="1"/>
  <c r="F616"/>
  <c r="G616" s="1"/>
  <c r="F603"/>
  <c r="G603" s="1"/>
  <c r="F576"/>
  <c r="G576" s="1"/>
  <c r="F564"/>
  <c r="G564" s="1"/>
  <c r="F615"/>
  <c r="G615" s="1"/>
  <c r="F602"/>
  <c r="G602" s="1"/>
  <c r="F588"/>
  <c r="G588" s="1"/>
  <c r="F575"/>
  <c r="G575" s="1"/>
  <c r="F563"/>
  <c r="G563" s="1"/>
  <c r="F613"/>
  <c r="G613" s="1"/>
  <c r="F601"/>
  <c r="G601" s="1"/>
  <c r="F585"/>
  <c r="G585" s="1"/>
  <c r="F574"/>
  <c r="G574" s="1"/>
  <c r="F562"/>
  <c r="G562" s="1"/>
  <c r="F612"/>
  <c r="G612" s="1"/>
  <c r="F600"/>
  <c r="G600" s="1"/>
  <c r="F573"/>
  <c r="G573" s="1"/>
  <c r="F561"/>
  <c r="G561" s="1"/>
  <c r="F611"/>
  <c r="F599"/>
  <c r="F584"/>
  <c r="F572"/>
  <c r="F560"/>
  <c r="F610"/>
  <c r="G610" s="1"/>
  <c r="F598"/>
  <c r="G598" s="1"/>
  <c r="F583"/>
  <c r="G583" s="1"/>
  <c r="F571"/>
  <c r="G571" s="1"/>
  <c r="F559"/>
  <c r="G559" s="1"/>
  <c r="F609"/>
  <c r="G609" s="1"/>
  <c r="F597"/>
  <c r="G597" s="1"/>
  <c r="F582"/>
  <c r="G582" s="1"/>
  <c r="F570"/>
  <c r="G570" s="1"/>
  <c r="F558"/>
  <c r="G558" s="1"/>
  <c r="G552"/>
  <c r="G545"/>
  <c r="F244"/>
  <c r="G279"/>
  <c r="G177"/>
  <c r="G662"/>
  <c r="G663"/>
  <c r="G664"/>
  <c r="G665"/>
  <c r="G666"/>
  <c r="G667"/>
  <c r="G668"/>
  <c r="G669"/>
  <c r="G670"/>
  <c r="G671"/>
  <c r="G672"/>
  <c r="G673"/>
  <c r="G674"/>
  <c r="G675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E611"/>
  <c r="E599"/>
  <c r="E584"/>
  <c r="E572"/>
  <c r="E560"/>
  <c r="F966"/>
  <c r="F965"/>
  <c r="F1088"/>
  <c r="F1089"/>
  <c r="F706"/>
  <c r="J7" i="1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"/>
  <c r="AB70" i="19"/>
  <c r="AB216" i="20"/>
  <c r="AB143"/>
  <c r="AB70"/>
  <c r="AB70" i="10"/>
  <c r="AB143"/>
  <c r="AB216"/>
  <c r="AB289"/>
  <c r="AB362"/>
  <c r="AB435"/>
  <c r="AB508"/>
  <c r="AB581"/>
  <c r="AB654"/>
  <c r="AB727"/>
  <c r="AB800"/>
  <c r="AB71" i="9"/>
  <c r="AB70" i="7"/>
  <c r="AB143"/>
  <c r="AB216"/>
  <c r="AB289"/>
  <c r="AB362"/>
  <c r="AB435"/>
  <c r="AB508"/>
  <c r="AB581"/>
  <c r="AB654"/>
  <c r="AB727"/>
  <c r="AB800"/>
  <c r="AB873"/>
  <c r="AB946"/>
  <c r="AB1019"/>
  <c r="AB1092"/>
  <c r="AB1165"/>
  <c r="AB70" i="5"/>
  <c r="AB143"/>
  <c r="AB217"/>
  <c r="AB70" i="16"/>
  <c r="AB70" i="4"/>
  <c r="AB143"/>
  <c r="AB216"/>
  <c r="AB289"/>
  <c r="AB363"/>
  <c r="AB436"/>
  <c r="AG695" i="10"/>
  <c r="AG622"/>
  <c r="AG549"/>
  <c r="AG476"/>
  <c r="AG403"/>
  <c r="AG330"/>
  <c r="AG257"/>
  <c r="AG184"/>
  <c r="AG111"/>
  <c r="AG38"/>
  <c r="AG37"/>
  <c r="AG187" i="5"/>
  <c r="AG186"/>
  <c r="AG185"/>
  <c r="AG184"/>
  <c r="AG183"/>
  <c r="AG406" i="4"/>
  <c r="AG404"/>
  <c r="AG403"/>
  <c r="AG337"/>
  <c r="AG336"/>
  <c r="AG335"/>
  <c r="AG333"/>
  <c r="AG332"/>
  <c r="AG331"/>
  <c r="AG330"/>
  <c r="AG260"/>
  <c r="AG259"/>
  <c r="AG258"/>
  <c r="AG187"/>
  <c r="AG186"/>
  <c r="AG185"/>
  <c r="AG111"/>
  <c r="AG110"/>
  <c r="AG37"/>
  <c r="AE49" i="19"/>
  <c r="AK23"/>
  <c r="AK22"/>
  <c r="AK21"/>
  <c r="AK167" i="20"/>
  <c r="AK94"/>
  <c r="AK21"/>
  <c r="AK23" i="10"/>
  <c r="AK22"/>
  <c r="AK21"/>
  <c r="AK96"/>
  <c r="AK95"/>
  <c r="AK94"/>
  <c r="AK169"/>
  <c r="AK168"/>
  <c r="AK167"/>
  <c r="AK242"/>
  <c r="AK241"/>
  <c r="AK240"/>
  <c r="AK315"/>
  <c r="AK314"/>
  <c r="AK313"/>
  <c r="AK388"/>
  <c r="AK387"/>
  <c r="AK386"/>
  <c r="AK461"/>
  <c r="AK460"/>
  <c r="AK459"/>
  <c r="AK534"/>
  <c r="AK533"/>
  <c r="AK532"/>
  <c r="AK607"/>
  <c r="AK606"/>
  <c r="AK605"/>
  <c r="AK680"/>
  <c r="AK679"/>
  <c r="AK678"/>
  <c r="AK752"/>
  <c r="AK751"/>
  <c r="AK23" i="9"/>
  <c r="AK22"/>
  <c r="AK21"/>
  <c r="AK21" i="7"/>
  <c r="AK94"/>
  <c r="AK167"/>
  <c r="AK240"/>
  <c r="AK313"/>
  <c r="AK386"/>
  <c r="AK459"/>
  <c r="AK532"/>
  <c r="AK605"/>
  <c r="AK678"/>
  <c r="AK751"/>
  <c r="AK824"/>
  <c r="AK897"/>
  <c r="AK970"/>
  <c r="AK1043"/>
  <c r="AK1116"/>
  <c r="AK22" i="5"/>
  <c r="AK21"/>
  <c r="AK170"/>
  <c r="AK169"/>
  <c r="AK168"/>
  <c r="AK167"/>
  <c r="AK21" i="4"/>
  <c r="AK94"/>
  <c r="AK170"/>
  <c r="AK169"/>
  <c r="AK168"/>
  <c r="AK167"/>
  <c r="AK243"/>
  <c r="AK242"/>
  <c r="AK241"/>
  <c r="AK240"/>
  <c r="AK316"/>
  <c r="AK315"/>
  <c r="AK314"/>
  <c r="AK313"/>
  <c r="AK389"/>
  <c r="AK388"/>
  <c r="AK387"/>
  <c r="AK666" i="10"/>
  <c r="AG666"/>
  <c r="AK593"/>
  <c r="AG593"/>
  <c r="AK520"/>
  <c r="AG520"/>
  <c r="AK447"/>
  <c r="AG447"/>
  <c r="AK374"/>
  <c r="AG374"/>
  <c r="AK301"/>
  <c r="AG301"/>
  <c r="AK228"/>
  <c r="AG228"/>
  <c r="AK155"/>
  <c r="AG155"/>
  <c r="AK82"/>
  <c r="AG82"/>
  <c r="AK9"/>
  <c r="AG9"/>
  <c r="AK1105" i="7"/>
  <c r="AG1105"/>
  <c r="AK1104"/>
  <c r="AG1104"/>
  <c r="AK1032"/>
  <c r="AG1032"/>
  <c r="AK1031"/>
  <c r="AG1031"/>
  <c r="AK959"/>
  <c r="AG959"/>
  <c r="AK958"/>
  <c r="AG958"/>
  <c r="AK886"/>
  <c r="AG886"/>
  <c r="AK885"/>
  <c r="AG885"/>
  <c r="AK813"/>
  <c r="AG813"/>
  <c r="AK812"/>
  <c r="AG812"/>
  <c r="AK161" i="5"/>
  <c r="AG161"/>
  <c r="AK160"/>
  <c r="AG160"/>
  <c r="AK159"/>
  <c r="AG159"/>
  <c r="AK158"/>
  <c r="AG158"/>
  <c r="AK157"/>
  <c r="AG157"/>
  <c r="AK156"/>
  <c r="AG156"/>
  <c r="AK155"/>
  <c r="AG155"/>
  <c r="AK230" i="4"/>
  <c r="AG230"/>
  <c r="AK229"/>
  <c r="AG229"/>
  <c r="AK228"/>
  <c r="AG228"/>
  <c r="AK157"/>
  <c r="AG157"/>
  <c r="AK156"/>
  <c r="AG156"/>
  <c r="AK155"/>
  <c r="AG155"/>
  <c r="G92" i="11"/>
  <c r="G101"/>
  <c r="G110"/>
  <c r="G119"/>
  <c r="G128"/>
  <c r="G148"/>
  <c r="G156"/>
  <c r="G164"/>
  <c r="F1341"/>
  <c r="F1340"/>
  <c r="G1340" s="1"/>
  <c r="F1339"/>
  <c r="F1338"/>
  <c r="G1338" s="1"/>
  <c r="F1337"/>
  <c r="F1336"/>
  <c r="G1336" s="1"/>
  <c r="F1335"/>
  <c r="F1334"/>
  <c r="G1334" s="1"/>
  <c r="F1330"/>
  <c r="F1328"/>
  <c r="G1328" s="1"/>
  <c r="F1326"/>
  <c r="F1325"/>
  <c r="F1322"/>
  <c r="F1316"/>
  <c r="G1316" s="1"/>
  <c r="F1315"/>
  <c r="F1313"/>
  <c r="F1309"/>
  <c r="F1308"/>
  <c r="G1308" s="1"/>
  <c r="F1305"/>
  <c r="F1304"/>
  <c r="G1304" s="1"/>
  <c r="F1303"/>
  <c r="F1302"/>
  <c r="G1302" s="1"/>
  <c r="F1301"/>
  <c r="F1300"/>
  <c r="G1300" s="1"/>
  <c r="F1291"/>
  <c r="F1292"/>
  <c r="G1292" s="1"/>
  <c r="F1293"/>
  <c r="F1294"/>
  <c r="G1294" s="1"/>
  <c r="F1295"/>
  <c r="F1296"/>
  <c r="G1296" s="1"/>
  <c r="F1297"/>
  <c r="F1298"/>
  <c r="G1298" s="1"/>
  <c r="F1282"/>
  <c r="F1283"/>
  <c r="F1284"/>
  <c r="F1285"/>
  <c r="F1286"/>
  <c r="F1287"/>
  <c r="F1288"/>
  <c r="F1289"/>
  <c r="F1290"/>
  <c r="F1281"/>
  <c r="F1278"/>
  <c r="F1277"/>
  <c r="F1275"/>
  <c r="F1274"/>
  <c r="G1274" s="1"/>
  <c r="F1272"/>
  <c r="F1271"/>
  <c r="F1270"/>
  <c r="F1269"/>
  <c r="F1268"/>
  <c r="F1267"/>
  <c r="F1266"/>
  <c r="F1264"/>
  <c r="G1264" s="1"/>
  <c r="F1265"/>
  <c r="F1263"/>
  <c r="F1262"/>
  <c r="F1260"/>
  <c r="G1260" s="1"/>
  <c r="F1259"/>
  <c r="F1258"/>
  <c r="G1258" s="1"/>
  <c r="F1257"/>
  <c r="F1256"/>
  <c r="G1256" s="1"/>
  <c r="F1255"/>
  <c r="F1254"/>
  <c r="G1254" s="1"/>
  <c r="F1251"/>
  <c r="F1250"/>
  <c r="G1250" s="1"/>
  <c r="F1249"/>
  <c r="F1248"/>
  <c r="G1248" s="1"/>
  <c r="F1247"/>
  <c r="F1246"/>
  <c r="G1246" s="1"/>
  <c r="F1245"/>
  <c r="F1244"/>
  <c r="G1244" s="1"/>
  <c r="F1242"/>
  <c r="F1241"/>
  <c r="F1237"/>
  <c r="G1237" s="1"/>
  <c r="F1233"/>
  <c r="F1232"/>
  <c r="F1231"/>
  <c r="F1230"/>
  <c r="F1227"/>
  <c r="F1228"/>
  <c r="F1225"/>
  <c r="F1226"/>
  <c r="F1224"/>
  <c r="F1223"/>
  <c r="G1223" s="1"/>
  <c r="F1222"/>
  <c r="F1220"/>
  <c r="G1220" s="1"/>
  <c r="F1218"/>
  <c r="F1217"/>
  <c r="G1217" s="1"/>
  <c r="F1216"/>
  <c r="F1215"/>
  <c r="G1215" s="1"/>
  <c r="F1213"/>
  <c r="F1212"/>
  <c r="F1211"/>
  <c r="F1210"/>
  <c r="F1374"/>
  <c r="F1385"/>
  <c r="F1384"/>
  <c r="F1383"/>
  <c r="F1382"/>
  <c r="F1381"/>
  <c r="F1380"/>
  <c r="F1379"/>
  <c r="F1378"/>
  <c r="F1397"/>
  <c r="G1397" s="1"/>
  <c r="F1396"/>
  <c r="F1418"/>
  <c r="F1189"/>
  <c r="F1188"/>
  <c r="G1188" s="1"/>
  <c r="F1187"/>
  <c r="F1186"/>
  <c r="G1186" s="1"/>
  <c r="F1185"/>
  <c r="F1184"/>
  <c r="G1184" s="1"/>
  <c r="F1183"/>
  <c r="G1183" s="1"/>
  <c r="F1182"/>
  <c r="G1182" s="1"/>
  <c r="F1179"/>
  <c r="F1178"/>
  <c r="G1178" s="1"/>
  <c r="F1177"/>
  <c r="G1177" s="1"/>
  <c r="F1176"/>
  <c r="G1176" s="1"/>
  <c r="F1172"/>
  <c r="F1168"/>
  <c r="G1168" s="1"/>
  <c r="F1167"/>
  <c r="G1167" s="1"/>
  <c r="F1166"/>
  <c r="G1166" s="1"/>
  <c r="F1165"/>
  <c r="F1164"/>
  <c r="G1164" s="1"/>
  <c r="F1163"/>
  <c r="F1162"/>
  <c r="G1162" s="1"/>
  <c r="F1160"/>
  <c r="G1160" s="1"/>
  <c r="F1159"/>
  <c r="F1158"/>
  <c r="G1158" s="1"/>
  <c r="F1157"/>
  <c r="F1156"/>
  <c r="G1156" s="1"/>
  <c r="F1155"/>
  <c r="F1154"/>
  <c r="G1154" s="1"/>
  <c r="F1153"/>
  <c r="F1152"/>
  <c r="G1152" s="1"/>
  <c r="F1151"/>
  <c r="F1150"/>
  <c r="G1150" s="1"/>
  <c r="F1149"/>
  <c r="F1148"/>
  <c r="G1148" s="1"/>
  <c r="F1147"/>
  <c r="F1146"/>
  <c r="G1146" s="1"/>
  <c r="F1145"/>
  <c r="F1144"/>
  <c r="G1144" s="1"/>
  <c r="F1143"/>
  <c r="F1142"/>
  <c r="G1142" s="1"/>
  <c r="F1141"/>
  <c r="F1140"/>
  <c r="G1140" s="1"/>
  <c r="F1139"/>
  <c r="F1138"/>
  <c r="G1138" s="1"/>
  <c r="F1137"/>
  <c r="F1136"/>
  <c r="G1136" s="1"/>
  <c r="F1135"/>
  <c r="F1134"/>
  <c r="G1134" s="1"/>
  <c r="F1133"/>
  <c r="F1087"/>
  <c r="G1087" s="1"/>
  <c r="F1071"/>
  <c r="G1071" s="1"/>
  <c r="F1070"/>
  <c r="G1070" s="1"/>
  <c r="F1069"/>
  <c r="G1069" s="1"/>
  <c r="F1067"/>
  <c r="F1066"/>
  <c r="G1066" s="1"/>
  <c r="F1065"/>
  <c r="F1064"/>
  <c r="G1064" s="1"/>
  <c r="F1063"/>
  <c r="F1062"/>
  <c r="G1062" s="1"/>
  <c r="F1061"/>
  <c r="F1060"/>
  <c r="G1060" s="1"/>
  <c r="F1057"/>
  <c r="F1056"/>
  <c r="G1056" s="1"/>
  <c r="F1055"/>
  <c r="F1054"/>
  <c r="G1054" s="1"/>
  <c r="F1050"/>
  <c r="F1046"/>
  <c r="G1046" s="1"/>
  <c r="F1045"/>
  <c r="G1045" s="1"/>
  <c r="F1044"/>
  <c r="G1044" s="1"/>
  <c r="F1043"/>
  <c r="G1043" s="1"/>
  <c r="F1042"/>
  <c r="G1042" s="1"/>
  <c r="F1041"/>
  <c r="F1040"/>
  <c r="G1040" s="1"/>
  <c r="F1038"/>
  <c r="F1037"/>
  <c r="G1037" s="1"/>
  <c r="F1036"/>
  <c r="G1036" s="1"/>
  <c r="F1035"/>
  <c r="G1035" s="1"/>
  <c r="F1034"/>
  <c r="F1033"/>
  <c r="G1033" s="1"/>
  <c r="F1032"/>
  <c r="F1031"/>
  <c r="G1031" s="1"/>
  <c r="F1030"/>
  <c r="F1029"/>
  <c r="G1029" s="1"/>
  <c r="F1028"/>
  <c r="G1028" s="1"/>
  <c r="F1027"/>
  <c r="G1027" s="1"/>
  <c r="F1026"/>
  <c r="F1025"/>
  <c r="G1025" s="1"/>
  <c r="F1024"/>
  <c r="G1024" s="1"/>
  <c r="F1023"/>
  <c r="G1023" s="1"/>
  <c r="F1022"/>
  <c r="F1021"/>
  <c r="G1021" s="1"/>
  <c r="F1020"/>
  <c r="F1019"/>
  <c r="G1019" s="1"/>
  <c r="F1018"/>
  <c r="F1017"/>
  <c r="G1017" s="1"/>
  <c r="F1016"/>
  <c r="G1016" s="1"/>
  <c r="F1015"/>
  <c r="G1015" s="1"/>
  <c r="F1014"/>
  <c r="F1013"/>
  <c r="G1013" s="1"/>
  <c r="F1012"/>
  <c r="F1011"/>
  <c r="G1011" s="1"/>
  <c r="F1010"/>
  <c r="F964"/>
  <c r="G964" s="1"/>
  <c r="F892"/>
  <c r="G892" s="1"/>
  <c r="F887"/>
  <c r="G887" s="1"/>
  <c r="F886"/>
  <c r="G886" s="1"/>
  <c r="F885"/>
  <c r="G885" s="1"/>
  <c r="F884"/>
  <c r="F883"/>
  <c r="G883" s="1"/>
  <c r="F882"/>
  <c r="G882" s="1"/>
  <c r="F879"/>
  <c r="G879" s="1"/>
  <c r="F878"/>
  <c r="G878" s="1"/>
  <c r="F865"/>
  <c r="G865" s="1"/>
  <c r="F861"/>
  <c r="G861" s="1"/>
  <c r="F854"/>
  <c r="G854" s="1"/>
  <c r="F853"/>
  <c r="F852"/>
  <c r="G852" s="1"/>
  <c r="F851"/>
  <c r="F850"/>
  <c r="G850" s="1"/>
  <c r="F849"/>
  <c r="G849" s="1"/>
  <c r="F848"/>
  <c r="F840"/>
  <c r="G840" s="1"/>
  <c r="F834"/>
  <c r="G834" s="1"/>
  <c r="F833"/>
  <c r="F832"/>
  <c r="G832" s="1"/>
  <c r="F831"/>
  <c r="G831" s="1"/>
  <c r="F830"/>
  <c r="G830" s="1"/>
  <c r="F828"/>
  <c r="G828" s="1"/>
  <c r="F825"/>
  <c r="G825" s="1"/>
  <c r="F824"/>
  <c r="F805"/>
  <c r="G805" s="1"/>
  <c r="F804"/>
  <c r="F803"/>
  <c r="G803" s="1"/>
  <c r="F802"/>
  <c r="G802" s="1"/>
  <c r="F801"/>
  <c r="G801" s="1"/>
  <c r="F800"/>
  <c r="F799"/>
  <c r="G799" s="1"/>
  <c r="F779"/>
  <c r="G779" s="1"/>
  <c r="F778"/>
  <c r="G778" s="1"/>
  <c r="F777"/>
  <c r="F776"/>
  <c r="G776" s="1"/>
  <c r="F772"/>
  <c r="G772" s="1"/>
  <c r="F771"/>
  <c r="G771" s="1"/>
  <c r="F723"/>
  <c r="F722"/>
  <c r="G722" s="1"/>
  <c r="F721"/>
  <c r="G721" s="1"/>
  <c r="F717"/>
  <c r="G717" s="1"/>
  <c r="F716"/>
  <c r="G716" s="1"/>
  <c r="F715"/>
  <c r="G715" s="1"/>
  <c r="F714"/>
  <c r="G714" s="1"/>
  <c r="F713"/>
  <c r="G713" s="1"/>
  <c r="F712"/>
  <c r="G712"/>
  <c r="F711"/>
  <c r="G711" s="1"/>
  <c r="F710"/>
  <c r="F708"/>
  <c r="G708" s="1"/>
  <c r="F707"/>
  <c r="G707" s="1"/>
  <c r="G648"/>
  <c r="G646"/>
  <c r="G644"/>
  <c r="G635"/>
  <c r="G633"/>
  <c r="F555"/>
  <c r="G555" s="1"/>
  <c r="F554"/>
  <c r="G554" s="1"/>
  <c r="F553"/>
  <c r="G553" s="1"/>
  <c r="F551"/>
  <c r="G551" s="1"/>
  <c r="F550"/>
  <c r="G550" s="1"/>
  <c r="F549"/>
  <c r="F546"/>
  <c r="G546" s="1"/>
  <c r="F544"/>
  <c r="G544" s="1"/>
  <c r="F543"/>
  <c r="G543" s="1"/>
  <c r="F542"/>
  <c r="F541"/>
  <c r="G541" s="1"/>
  <c r="F540"/>
  <c r="G540" s="1"/>
  <c r="F539"/>
  <c r="G539" s="1"/>
  <c r="F538"/>
  <c r="G538" s="1"/>
  <c r="F535"/>
  <c r="G535" s="1"/>
  <c r="F534"/>
  <c r="F533"/>
  <c r="G533" s="1"/>
  <c r="F532"/>
  <c r="G532" s="1"/>
  <c r="F531"/>
  <c r="G531" s="1"/>
  <c r="F529"/>
  <c r="F528"/>
  <c r="G528" s="1"/>
  <c r="F527"/>
  <c r="F526"/>
  <c r="G526" s="1"/>
  <c r="F525"/>
  <c r="G525" s="1"/>
  <c r="F524"/>
  <c r="G524" s="1"/>
  <c r="F523"/>
  <c r="G523" s="1"/>
  <c r="F522"/>
  <c r="G522" s="1"/>
  <c r="F516"/>
  <c r="F515"/>
  <c r="G515" s="1"/>
  <c r="F514"/>
  <c r="G514" s="1"/>
  <c r="F512"/>
  <c r="G512" s="1"/>
  <c r="F511"/>
  <c r="G511" s="1"/>
  <c r="F509"/>
  <c r="G509" s="1"/>
  <c r="F508"/>
  <c r="G508" s="1"/>
  <c r="F507"/>
  <c r="G507" s="1"/>
  <c r="F506"/>
  <c r="G506" s="1"/>
  <c r="F505"/>
  <c r="G505" s="1"/>
  <c r="F499"/>
  <c r="G499" s="1"/>
  <c r="F498"/>
  <c r="G498" s="1"/>
  <c r="F497"/>
  <c r="G497" s="1"/>
  <c r="F496"/>
  <c r="F495"/>
  <c r="G495" s="1"/>
  <c r="F494"/>
  <c r="G494" s="1"/>
  <c r="F493"/>
  <c r="F492"/>
  <c r="G492" s="1"/>
  <c r="F491"/>
  <c r="G491" s="1"/>
  <c r="F490"/>
  <c r="G490" s="1"/>
  <c r="F489"/>
  <c r="F488"/>
  <c r="F487"/>
  <c r="G487" s="1"/>
  <c r="F486"/>
  <c r="G486" s="1"/>
  <c r="F476"/>
  <c r="G476" s="1"/>
  <c r="F475"/>
  <c r="G475" s="1"/>
  <c r="F474"/>
  <c r="G474" s="1"/>
  <c r="F473"/>
  <c r="G473" s="1"/>
  <c r="F472"/>
  <c r="G472" s="1"/>
  <c r="F471"/>
  <c r="G471" s="1"/>
  <c r="F470"/>
  <c r="G470" s="1"/>
  <c r="F469"/>
  <c r="G469" s="1"/>
  <c r="F468"/>
  <c r="G468" s="1"/>
  <c r="F467"/>
  <c r="G467" s="1"/>
  <c r="F466"/>
  <c r="G466" s="1"/>
  <c r="F465"/>
  <c r="G465" s="1"/>
  <c r="F464"/>
  <c r="G464" s="1"/>
  <c r="F463"/>
  <c r="F462"/>
  <c r="G462" s="1"/>
  <c r="F461"/>
  <c r="G461" s="1"/>
  <c r="F455"/>
  <c r="G455" s="1"/>
  <c r="F454"/>
  <c r="G454" s="1"/>
  <c r="F453"/>
  <c r="G453" s="1"/>
  <c r="F452"/>
  <c r="G452" s="1"/>
  <c r="F451"/>
  <c r="G451" s="1"/>
  <c r="F450"/>
  <c r="G450" s="1"/>
  <c r="F449"/>
  <c r="G449" s="1"/>
  <c r="F448"/>
  <c r="G448" s="1"/>
  <c r="F447"/>
  <c r="G447" s="1"/>
  <c r="F446"/>
  <c r="F445"/>
  <c r="G445" s="1"/>
  <c r="F444"/>
  <c r="G444" s="1"/>
  <c r="F443"/>
  <c r="G443" s="1"/>
  <c r="F442"/>
  <c r="F441"/>
  <c r="G441" s="1"/>
  <c r="F440"/>
  <c r="G440" s="1"/>
  <c r="F421"/>
  <c r="G421" s="1"/>
  <c r="F420"/>
  <c r="G420" s="1"/>
  <c r="F419"/>
  <c r="G419" s="1"/>
  <c r="F418"/>
  <c r="G418" s="1"/>
  <c r="F417"/>
  <c r="G417" s="1"/>
  <c r="F416"/>
  <c r="G416" s="1"/>
  <c r="F415"/>
  <c r="G415" s="1"/>
  <c r="F414"/>
  <c r="G414" s="1"/>
  <c r="F409"/>
  <c r="G409" s="1"/>
  <c r="F408"/>
  <c r="F403"/>
  <c r="G403" s="1"/>
  <c r="F402"/>
  <c r="G402" s="1"/>
  <c r="F401"/>
  <c r="G401" s="1"/>
  <c r="F400"/>
  <c r="G400" s="1"/>
  <c r="F397"/>
  <c r="G397" s="1"/>
  <c r="F396"/>
  <c r="G396" s="1"/>
  <c r="F395"/>
  <c r="G395" s="1"/>
  <c r="F392"/>
  <c r="G392" s="1"/>
  <c r="F390"/>
  <c r="G390" s="1"/>
  <c r="F388"/>
  <c r="G388" s="1"/>
  <c r="F387"/>
  <c r="G387" s="1"/>
  <c r="F314"/>
  <c r="G314" s="1"/>
  <c r="F313"/>
  <c r="G313" s="1"/>
  <c r="F311"/>
  <c r="G311" s="1"/>
  <c r="F310"/>
  <c r="G310" s="1"/>
  <c r="F309"/>
  <c r="G309" s="1"/>
  <c r="F308"/>
  <c r="G308" s="1"/>
  <c r="F306"/>
  <c r="G306" s="1"/>
  <c r="F304"/>
  <c r="F302"/>
  <c r="G302" s="1"/>
  <c r="F301"/>
  <c r="G301" s="1"/>
  <c r="F278"/>
  <c r="G278" s="1"/>
  <c r="F277"/>
  <c r="G277" s="1"/>
  <c r="F275"/>
  <c r="G275" s="1"/>
  <c r="F274"/>
  <c r="G274" s="1"/>
  <c r="F273"/>
  <c r="G273" s="1"/>
  <c r="F272"/>
  <c r="G272" s="1"/>
  <c r="F270"/>
  <c r="G270" s="1"/>
  <c r="F268"/>
  <c r="G268" s="1"/>
  <c r="F266"/>
  <c r="G266" s="1"/>
  <c r="F265"/>
  <c r="G265" s="1"/>
  <c r="F243"/>
  <c r="G243" s="1"/>
  <c r="F241"/>
  <c r="G241" s="1"/>
  <c r="F240"/>
  <c r="G240" s="1"/>
  <c r="F239"/>
  <c r="G239" s="1"/>
  <c r="F238"/>
  <c r="G238" s="1"/>
  <c r="F236"/>
  <c r="G236" s="1"/>
  <c r="F234"/>
  <c r="G234" s="1"/>
  <c r="F232"/>
  <c r="G232" s="1"/>
  <c r="F231"/>
  <c r="G231" s="1"/>
  <c r="F204"/>
  <c r="G204" s="1"/>
  <c r="F202"/>
  <c r="G202" s="1"/>
  <c r="F198"/>
  <c r="G198" s="1"/>
  <c r="F197"/>
  <c r="G197" s="1"/>
  <c r="F196"/>
  <c r="G196" s="1"/>
  <c r="F195"/>
  <c r="G195" s="1"/>
  <c r="F194"/>
  <c r="G194" s="1"/>
  <c r="F192"/>
  <c r="G192" s="1"/>
  <c r="F191"/>
  <c r="G191" s="1"/>
  <c r="F190"/>
  <c r="G190" s="1"/>
  <c r="G189"/>
  <c r="G179"/>
  <c r="G176"/>
  <c r="F174"/>
  <c r="G174" s="1"/>
  <c r="G173"/>
  <c r="F172"/>
  <c r="G172" s="1"/>
  <c r="G171"/>
  <c r="F170"/>
  <c r="G170" s="1"/>
  <c r="F163"/>
  <c r="G163" s="1"/>
  <c r="F162"/>
  <c r="G162" s="1"/>
  <c r="F160"/>
  <c r="G160" s="1"/>
  <c r="F155"/>
  <c r="G155" s="1"/>
  <c r="F154"/>
  <c r="G154" s="1"/>
  <c r="F152"/>
  <c r="G152" s="1"/>
  <c r="F147"/>
  <c r="G147" s="1"/>
  <c r="F146"/>
  <c r="G146" s="1"/>
  <c r="F144"/>
  <c r="G144" s="1"/>
  <c r="F140"/>
  <c r="G140" s="1"/>
  <c r="F139"/>
  <c r="G139" s="1"/>
  <c r="F137"/>
  <c r="G137" s="1"/>
  <c r="F134"/>
  <c r="G134" s="1"/>
  <c r="F133"/>
  <c r="G133" s="1"/>
  <c r="F131"/>
  <c r="G131" s="1"/>
  <c r="F127"/>
  <c r="G127" s="1"/>
  <c r="F126"/>
  <c r="G126" s="1"/>
  <c r="F124"/>
  <c r="G124" s="1"/>
  <c r="F122"/>
  <c r="G122" s="1"/>
  <c r="F118"/>
  <c r="G118" s="1"/>
  <c r="F117"/>
  <c r="G117" s="1"/>
  <c r="F115"/>
  <c r="G115" s="1"/>
  <c r="F113"/>
  <c r="G113" s="1"/>
  <c r="F109"/>
  <c r="G109" s="1"/>
  <c r="F108"/>
  <c r="G108" s="1"/>
  <c r="F106"/>
  <c r="G106" s="1"/>
  <c r="F104"/>
  <c r="G104" s="1"/>
  <c r="F100"/>
  <c r="G100" s="1"/>
  <c r="F99"/>
  <c r="G99" s="1"/>
  <c r="F97"/>
  <c r="G97" s="1"/>
  <c r="F95"/>
  <c r="G95" s="1"/>
  <c r="F91"/>
  <c r="G91" s="1"/>
  <c r="F90"/>
  <c r="G90" s="1"/>
  <c r="F88"/>
  <c r="G88" s="1"/>
  <c r="F86"/>
  <c r="G86" s="1"/>
  <c r="F76"/>
  <c r="G76" s="1"/>
  <c r="F74"/>
  <c r="G74" s="1"/>
  <c r="F73"/>
  <c r="G73" s="1"/>
  <c r="F75"/>
  <c r="G75" s="1"/>
  <c r="F72"/>
  <c r="G72" s="1"/>
  <c r="F62"/>
  <c r="G62" s="1"/>
  <c r="F61"/>
  <c r="G61" s="1"/>
  <c r="F66"/>
  <c r="G66" s="1"/>
  <c r="F63"/>
  <c r="G63" s="1"/>
  <c r="F60"/>
  <c r="G60" s="1"/>
  <c r="F49"/>
  <c r="G49" s="1"/>
  <c r="F48"/>
  <c r="G48" s="1"/>
  <c r="F53"/>
  <c r="G53" s="1"/>
  <c r="F50"/>
  <c r="G50" s="1"/>
  <c r="F47"/>
  <c r="G47" s="1"/>
  <c r="F41"/>
  <c r="G41"/>
  <c r="F40"/>
  <c r="G40" s="1"/>
  <c r="F39"/>
  <c r="G39" s="1"/>
  <c r="F38"/>
  <c r="G38" s="1"/>
  <c r="F37"/>
  <c r="G37" s="1"/>
  <c r="F36"/>
  <c r="G36" s="1"/>
  <c r="F35"/>
  <c r="G35" s="1"/>
  <c r="F34"/>
  <c r="G34" s="1"/>
  <c r="F30"/>
  <c r="G30" s="1"/>
  <c r="F29"/>
  <c r="G29" s="1"/>
  <c r="F31"/>
  <c r="G31" s="1"/>
  <c r="F28"/>
  <c r="G28" s="1"/>
  <c r="F27"/>
  <c r="G27" s="1"/>
  <c r="F26"/>
  <c r="G26" s="1"/>
  <c r="F17"/>
  <c r="G17" s="1"/>
  <c r="F19"/>
  <c r="G19" s="1"/>
  <c r="F18"/>
  <c r="G18" s="1"/>
  <c r="F16"/>
  <c r="G16" s="1"/>
  <c r="F21"/>
  <c r="G21" s="1"/>
  <c r="F20"/>
  <c r="G20" s="1"/>
  <c r="F15"/>
  <c r="G15" s="1"/>
  <c r="F12"/>
  <c r="G12" s="1"/>
  <c r="F11"/>
  <c r="G11" s="1"/>
  <c r="F10"/>
  <c r="G10" s="1"/>
  <c r="F8"/>
  <c r="G8" s="1"/>
  <c r="F9"/>
  <c r="G9" s="1"/>
  <c r="F7"/>
  <c r="G7" s="1"/>
  <c r="AG191" i="5"/>
  <c r="AO191"/>
  <c r="AG188"/>
  <c r="AG1133" i="7"/>
  <c r="AO1133" s="1"/>
  <c r="AG1132"/>
  <c r="AO1132" s="1"/>
  <c r="AG1060"/>
  <c r="AO1060"/>
  <c r="AG1059"/>
  <c r="AG987"/>
  <c r="AO987" s="1"/>
  <c r="AG986"/>
  <c r="AO986" s="1"/>
  <c r="AG917"/>
  <c r="AO917"/>
  <c r="AG916"/>
  <c r="AG915"/>
  <c r="AO915" s="1"/>
  <c r="AG914"/>
  <c r="AG913"/>
  <c r="AG844"/>
  <c r="AO844" s="1"/>
  <c r="AG843"/>
  <c r="AO843"/>
  <c r="AG842"/>
  <c r="AG841"/>
  <c r="AO841" s="1"/>
  <c r="AG840"/>
  <c r="AO840" s="1"/>
  <c r="AG771"/>
  <c r="AO771"/>
  <c r="AG770"/>
  <c r="AG769"/>
  <c r="AO769" s="1"/>
  <c r="AO775" s="1"/>
  <c r="AG768"/>
  <c r="AG767"/>
  <c r="AO767"/>
  <c r="AG698"/>
  <c r="AG697"/>
  <c r="AG696"/>
  <c r="AG695"/>
  <c r="AG694"/>
  <c r="AO694"/>
  <c r="AO702" s="1"/>
  <c r="AG625"/>
  <c r="AO625" s="1"/>
  <c r="AG624"/>
  <c r="AG623"/>
  <c r="AO623"/>
  <c r="AG622"/>
  <c r="AG621"/>
  <c r="AO621" s="1"/>
  <c r="AG551"/>
  <c r="AO551" s="1"/>
  <c r="AG550"/>
  <c r="AO550" s="1"/>
  <c r="AG549"/>
  <c r="AG548"/>
  <c r="AO548"/>
  <c r="AO556" s="1"/>
  <c r="AG478"/>
  <c r="AG477"/>
  <c r="AG476"/>
  <c r="AG475"/>
  <c r="AG405"/>
  <c r="AO405" s="1"/>
  <c r="AG404"/>
  <c r="AO404"/>
  <c r="AG403"/>
  <c r="AG402"/>
  <c r="AO402" s="1"/>
  <c r="AO410" s="1"/>
  <c r="AG332"/>
  <c r="AG331"/>
  <c r="AG330"/>
  <c r="AG329"/>
  <c r="AG259"/>
  <c r="AG258"/>
  <c r="AO258"/>
  <c r="AG257"/>
  <c r="AG256"/>
  <c r="AO256" s="1"/>
  <c r="AO264" s="1"/>
  <c r="AG186"/>
  <c r="AG185"/>
  <c r="AG184"/>
  <c r="AG183"/>
  <c r="AG113"/>
  <c r="AG112"/>
  <c r="AO112"/>
  <c r="AG111"/>
  <c r="AG110"/>
  <c r="AO110" s="1"/>
  <c r="AO118" s="1"/>
  <c r="AG43"/>
  <c r="AG42"/>
  <c r="AO42"/>
  <c r="AG41"/>
  <c r="AG40"/>
  <c r="AO40" s="1"/>
  <c r="AO45" s="1"/>
  <c r="AG39"/>
  <c r="AG38"/>
  <c r="AO38"/>
  <c r="AG37"/>
  <c r="AO202" i="20"/>
  <c r="AO201"/>
  <c r="AO200"/>
  <c r="AO199"/>
  <c r="AO198"/>
  <c r="AO197"/>
  <c r="AO196"/>
  <c r="AO203" s="1"/>
  <c r="AO185"/>
  <c r="AG184"/>
  <c r="AO184"/>
  <c r="AG183"/>
  <c r="AO183"/>
  <c r="AO191" s="1"/>
  <c r="AO167"/>
  <c r="AO163"/>
  <c r="AO129"/>
  <c r="AO128"/>
  <c r="AO127"/>
  <c r="AO126"/>
  <c r="AO125"/>
  <c r="AO124"/>
  <c r="AO123"/>
  <c r="AO130" s="1"/>
  <c r="AO112"/>
  <c r="AG111"/>
  <c r="AO111"/>
  <c r="AG110"/>
  <c r="AO110"/>
  <c r="AO118" s="1"/>
  <c r="AO94"/>
  <c r="AO90"/>
  <c r="AO56"/>
  <c r="AO55"/>
  <c r="AO54"/>
  <c r="AO53"/>
  <c r="AO52"/>
  <c r="AO57" s="1"/>
  <c r="AO51"/>
  <c r="AG43"/>
  <c r="AO43"/>
  <c r="AG42"/>
  <c r="AO42"/>
  <c r="AG41"/>
  <c r="AO41"/>
  <c r="AG40"/>
  <c r="AO40"/>
  <c r="AG39"/>
  <c r="AO39"/>
  <c r="AG38"/>
  <c r="AO38"/>
  <c r="AG37"/>
  <c r="AO37"/>
  <c r="AO45" s="1"/>
  <c r="AO21"/>
  <c r="AO17"/>
  <c r="AO56" i="19"/>
  <c r="AO55"/>
  <c r="AO54"/>
  <c r="AO53"/>
  <c r="AO52"/>
  <c r="AO51"/>
  <c r="AO50"/>
  <c r="AO49"/>
  <c r="AO57"/>
  <c r="AO41"/>
  <c r="AO45"/>
  <c r="AO23"/>
  <c r="AO22"/>
  <c r="AO21"/>
  <c r="AC9"/>
  <c r="AO9" s="1"/>
  <c r="AO17" s="1"/>
  <c r="D34" i="18"/>
  <c r="F1360" i="11"/>
  <c r="D33" i="18"/>
  <c r="F1359" i="11"/>
  <c r="D32" i="18"/>
  <c r="F1354" i="11"/>
  <c r="D31" i="18"/>
  <c r="D30"/>
  <c r="F1352" i="11" s="1"/>
  <c r="D29" i="18"/>
  <c r="D28"/>
  <c r="F1358" i="11"/>
  <c r="D27" i="18"/>
  <c r="F1357" i="11"/>
  <c r="G1357" s="1"/>
  <c r="D26" i="18"/>
  <c r="F1355" i="11"/>
  <c r="D25" i="18"/>
  <c r="F1353" i="11"/>
  <c r="D24" i="18"/>
  <c r="F1407" i="11"/>
  <c r="D23" i="18"/>
  <c r="D22"/>
  <c r="D21"/>
  <c r="F1408" i="11"/>
  <c r="D20" i="18"/>
  <c r="F1404" i="11"/>
  <c r="D19" i="18"/>
  <c r="D18"/>
  <c r="F1405" i="11" s="1"/>
  <c r="D17" i="18"/>
  <c r="D16"/>
  <c r="D15"/>
  <c r="F1402" i="11" s="1"/>
  <c r="D14" i="18"/>
  <c r="F1403" i="11" s="1"/>
  <c r="D13" i="18"/>
  <c r="F1406" i="11" s="1"/>
  <c r="D12" i="18"/>
  <c r="F1401" i="11" s="1"/>
  <c r="G1401" s="1"/>
  <c r="D11" i="18"/>
  <c r="D10"/>
  <c r="D9"/>
  <c r="D8"/>
  <c r="D7"/>
  <c r="D6"/>
  <c r="D5"/>
  <c r="D4"/>
  <c r="D3"/>
  <c r="G658" i="11"/>
  <c r="G643"/>
  <c r="G642"/>
  <c r="G634"/>
  <c r="G632"/>
  <c r="G706"/>
  <c r="G709"/>
  <c r="G710"/>
  <c r="F904"/>
  <c r="G904" s="1"/>
  <c r="F896"/>
  <c r="G896" s="1"/>
  <c r="F895"/>
  <c r="G895" s="1"/>
  <c r="F807"/>
  <c r="G807" s="1"/>
  <c r="F910"/>
  <c r="G910" s="1"/>
  <c r="F909"/>
  <c r="G909" s="1"/>
  <c r="F908"/>
  <c r="G908" s="1"/>
  <c r="F907"/>
  <c r="G907" s="1"/>
  <c r="F906"/>
  <c r="G906" s="1"/>
  <c r="F905"/>
  <c r="G905" s="1"/>
  <c r="F903"/>
  <c r="G903" s="1"/>
  <c r="F902"/>
  <c r="G902" s="1"/>
  <c r="F881"/>
  <c r="G881" s="1"/>
  <c r="F880"/>
  <c r="G880" s="1"/>
  <c r="F877"/>
  <c r="G877" s="1"/>
  <c r="F891"/>
  <c r="G891" s="1"/>
  <c r="F890"/>
  <c r="G890" s="1"/>
  <c r="F889"/>
  <c r="G889" s="1"/>
  <c r="F888"/>
  <c r="G888" s="1"/>
  <c r="F876"/>
  <c r="G876" s="1"/>
  <c r="F875"/>
  <c r="G875" s="1"/>
  <c r="F874"/>
  <c r="G874" s="1"/>
  <c r="F873"/>
  <c r="G873" s="1"/>
  <c r="F872"/>
  <c r="G872" s="1"/>
  <c r="F871"/>
  <c r="G871" s="1"/>
  <c r="F870"/>
  <c r="G870" s="1"/>
  <c r="F869"/>
  <c r="G869" s="1"/>
  <c r="F868"/>
  <c r="G868" s="1"/>
  <c r="F867"/>
  <c r="G867" s="1"/>
  <c r="F866"/>
  <c r="G866" s="1"/>
  <c r="F864"/>
  <c r="G864" s="1"/>
  <c r="F863"/>
  <c r="G863" s="1"/>
  <c r="F862"/>
  <c r="G862" s="1"/>
  <c r="F860"/>
  <c r="G860" s="1"/>
  <c r="F859"/>
  <c r="G859" s="1"/>
  <c r="F858"/>
  <c r="G858" s="1"/>
  <c r="F855"/>
  <c r="G855" s="1"/>
  <c r="F857"/>
  <c r="G857" s="1"/>
  <c r="F856"/>
  <c r="G856" s="1"/>
  <c r="F847"/>
  <c r="G847" s="1"/>
  <c r="F843"/>
  <c r="G843" s="1"/>
  <c r="F842"/>
  <c r="G842" s="1"/>
  <c r="F839"/>
  <c r="G839" s="1"/>
  <c r="F838"/>
  <c r="G838" s="1"/>
  <c r="F837"/>
  <c r="G837" s="1"/>
  <c r="F836"/>
  <c r="G836" s="1"/>
  <c r="F835"/>
  <c r="G835" s="1"/>
  <c r="F829"/>
  <c r="G829" s="1"/>
  <c r="F827"/>
  <c r="G827" s="1"/>
  <c r="F826"/>
  <c r="G826" s="1"/>
  <c r="F823"/>
  <c r="G823" s="1"/>
  <c r="F821"/>
  <c r="G821" s="1"/>
  <c r="F820"/>
  <c r="G820" s="1"/>
  <c r="F817"/>
  <c r="G817" s="1"/>
  <c r="F818"/>
  <c r="G818" s="1"/>
  <c r="F819"/>
  <c r="G819" s="1"/>
  <c r="F816"/>
  <c r="G816" s="1"/>
  <c r="F815"/>
  <c r="G815" s="1"/>
  <c r="F814"/>
  <c r="G814" s="1"/>
  <c r="F813"/>
  <c r="G813" s="1"/>
  <c r="F812"/>
  <c r="G812" s="1"/>
  <c r="F811"/>
  <c r="G811" s="1"/>
  <c r="F810"/>
  <c r="G810" s="1"/>
  <c r="F809"/>
  <c r="G809" s="1"/>
  <c r="F808"/>
  <c r="G808" s="1"/>
  <c r="F806"/>
  <c r="G806" s="1"/>
  <c r="F798"/>
  <c r="G798" s="1"/>
  <c r="F797"/>
  <c r="G797" s="1"/>
  <c r="F796"/>
  <c r="G796" s="1"/>
  <c r="F795"/>
  <c r="G795" s="1"/>
  <c r="F791"/>
  <c r="G791" s="1"/>
  <c r="F790"/>
  <c r="G790" s="1"/>
  <c r="F783"/>
  <c r="G783" s="1"/>
  <c r="F784"/>
  <c r="G784" s="1"/>
  <c r="F785"/>
  <c r="G785" s="1"/>
  <c r="F786"/>
  <c r="G786" s="1"/>
  <c r="F787"/>
  <c r="G787" s="1"/>
  <c r="F788"/>
  <c r="G788" s="1"/>
  <c r="F789"/>
  <c r="G789" s="1"/>
  <c r="F782"/>
  <c r="G782" s="1"/>
  <c r="F780"/>
  <c r="G780" s="1"/>
  <c r="F781"/>
  <c r="G781" s="1"/>
  <c r="F775"/>
  <c r="G775" s="1"/>
  <c r="F774"/>
  <c r="G774" s="1"/>
  <c r="F773"/>
  <c r="G773" s="1"/>
  <c r="F770"/>
  <c r="G770" s="1"/>
  <c r="G769"/>
  <c r="F767"/>
  <c r="G767" s="1"/>
  <c r="F766"/>
  <c r="G766" s="1"/>
  <c r="F765"/>
  <c r="G765" s="1"/>
  <c r="F764"/>
  <c r="G764" s="1"/>
  <c r="G768"/>
  <c r="G777"/>
  <c r="G800"/>
  <c r="G804"/>
  <c r="G822"/>
  <c r="G824"/>
  <c r="G833"/>
  <c r="G841"/>
  <c r="G848"/>
  <c r="G851"/>
  <c r="G853"/>
  <c r="G884"/>
  <c r="G893"/>
  <c r="G894"/>
  <c r="G897"/>
  <c r="G898"/>
  <c r="G899"/>
  <c r="G900"/>
  <c r="G901"/>
  <c r="F763"/>
  <c r="G763" s="1"/>
  <c r="K64" i="17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5" s="1"/>
  <c r="E21" i="6" s="1"/>
  <c r="K6" i="17"/>
  <c r="C24" i="6"/>
  <c r="G1266" i="11"/>
  <c r="G1267"/>
  <c r="G1268"/>
  <c r="G1269"/>
  <c r="G1270"/>
  <c r="G1271"/>
  <c r="G1272"/>
  <c r="G1273"/>
  <c r="G1275"/>
  <c r="G1276"/>
  <c r="G1277"/>
  <c r="G1278"/>
  <c r="G1279"/>
  <c r="G1280"/>
  <c r="G1281"/>
  <c r="G1282"/>
  <c r="G1283"/>
  <c r="G1284"/>
  <c r="G1285"/>
  <c r="G1286"/>
  <c r="G1287"/>
  <c r="G1288"/>
  <c r="G1289"/>
  <c r="G1290"/>
  <c r="G1291"/>
  <c r="G1293"/>
  <c r="G1295"/>
  <c r="G1297"/>
  <c r="G1299"/>
  <c r="G1301"/>
  <c r="G1303"/>
  <c r="G1305"/>
  <c r="G1306"/>
  <c r="G1307"/>
  <c r="G1309"/>
  <c r="G1310"/>
  <c r="G1311"/>
  <c r="G1312"/>
  <c r="G1313"/>
  <c r="G1314"/>
  <c r="G1315"/>
  <c r="G1317"/>
  <c r="G1318"/>
  <c r="G1319"/>
  <c r="G1320"/>
  <c r="G1321"/>
  <c r="G1322"/>
  <c r="G1323"/>
  <c r="G1324"/>
  <c r="G1325"/>
  <c r="G1326"/>
  <c r="G1327"/>
  <c r="G1329"/>
  <c r="G1330"/>
  <c r="G1331"/>
  <c r="G1332"/>
  <c r="G1333"/>
  <c r="G1335"/>
  <c r="G1337"/>
  <c r="G1339"/>
  <c r="G1341"/>
  <c r="G1342"/>
  <c r="G1343"/>
  <c r="G1242"/>
  <c r="G1243"/>
  <c r="G1245"/>
  <c r="G1247"/>
  <c r="G1249"/>
  <c r="G1251"/>
  <c r="G1252"/>
  <c r="G1253"/>
  <c r="G1255"/>
  <c r="G1257"/>
  <c r="G1259"/>
  <c r="G1261"/>
  <c r="G1262"/>
  <c r="G1263"/>
  <c r="G1265"/>
  <c r="G1210"/>
  <c r="G1211"/>
  <c r="G1212"/>
  <c r="G1213"/>
  <c r="G1214"/>
  <c r="G1216"/>
  <c r="G1218"/>
  <c r="G1219"/>
  <c r="G1221"/>
  <c r="G1222"/>
  <c r="G1224"/>
  <c r="G1225"/>
  <c r="G1226"/>
  <c r="G1227"/>
  <c r="G1228"/>
  <c r="G1229"/>
  <c r="G1230"/>
  <c r="G1231"/>
  <c r="G1232"/>
  <c r="G1233"/>
  <c r="G1234"/>
  <c r="G1235"/>
  <c r="G1236"/>
  <c r="G1238"/>
  <c r="G1239"/>
  <c r="G1240"/>
  <c r="G1241"/>
  <c r="G1209"/>
  <c r="G654"/>
  <c r="G653"/>
  <c r="G652"/>
  <c r="G651"/>
  <c r="G650"/>
  <c r="G649"/>
  <c r="G315"/>
  <c r="G304"/>
  <c r="G244"/>
  <c r="F398"/>
  <c r="G398" s="1"/>
  <c r="G180"/>
  <c r="G657"/>
  <c r="G656"/>
  <c r="G655"/>
  <c r="G647"/>
  <c r="G645"/>
  <c r="G641"/>
  <c r="G640"/>
  <c r="G639"/>
  <c r="G638"/>
  <c r="G637"/>
  <c r="G636"/>
  <c r="AO56" i="16"/>
  <c r="AO55"/>
  <c r="AO54"/>
  <c r="AO53"/>
  <c r="AO52"/>
  <c r="AO51"/>
  <c r="AO57" s="1"/>
  <c r="AO50"/>
  <c r="AO41"/>
  <c r="AO40"/>
  <c r="AO45" s="1"/>
  <c r="AO37"/>
  <c r="AK29"/>
  <c r="AO29"/>
  <c r="AO30" s="1"/>
  <c r="AO32" s="1"/>
  <c r="AO33" s="1"/>
  <c r="AO17"/>
  <c r="G1378" i="11"/>
  <c r="E1418"/>
  <c r="G1418" s="1"/>
  <c r="F1364"/>
  <c r="G1364" s="1"/>
  <c r="E1374"/>
  <c r="G1374" s="1"/>
  <c r="G1375" s="1"/>
  <c r="G735"/>
  <c r="AO423" i="4"/>
  <c r="AO406"/>
  <c r="AO405"/>
  <c r="AO404"/>
  <c r="AO403"/>
  <c r="AO411"/>
  <c r="AO389"/>
  <c r="AO388"/>
  <c r="AO387"/>
  <c r="AK395"/>
  <c r="AO395" s="1"/>
  <c r="AO383"/>
  <c r="AO350"/>
  <c r="AO337"/>
  <c r="AO336"/>
  <c r="AO335"/>
  <c r="AO334"/>
  <c r="AO333"/>
  <c r="AO332"/>
  <c r="AO331"/>
  <c r="AO330"/>
  <c r="AO316"/>
  <c r="AO315"/>
  <c r="AO314"/>
  <c r="AO313"/>
  <c r="AO309"/>
  <c r="E1352" i="11"/>
  <c r="E1424"/>
  <c r="G1424" s="1"/>
  <c r="E1423"/>
  <c r="G1423" s="1"/>
  <c r="E1422"/>
  <c r="G1422" s="1"/>
  <c r="E1407"/>
  <c r="E1360"/>
  <c r="E1402"/>
  <c r="F1190"/>
  <c r="G1190" s="1"/>
  <c r="F1181"/>
  <c r="G1181" s="1"/>
  <c r="F1180"/>
  <c r="G1180" s="1"/>
  <c r="F424"/>
  <c r="G424" s="1"/>
  <c r="F79"/>
  <c r="G79" s="1"/>
  <c r="F1068"/>
  <c r="G1068" s="1"/>
  <c r="F1059"/>
  <c r="G1059" s="1"/>
  <c r="F1058"/>
  <c r="G1058" s="1"/>
  <c r="F426"/>
  <c r="G426" s="1"/>
  <c r="F425"/>
  <c r="G425" s="1"/>
  <c r="F22"/>
  <c r="G22" s="1"/>
  <c r="C22" i="6"/>
  <c r="C23"/>
  <c r="G1419" i="11"/>
  <c r="G1415"/>
  <c r="G1414"/>
  <c r="G1413"/>
  <c r="G1412"/>
  <c r="G1411"/>
  <c r="E1408"/>
  <c r="E1406"/>
  <c r="E1405"/>
  <c r="E1404"/>
  <c r="E1403"/>
  <c r="E1401"/>
  <c r="G1396"/>
  <c r="G1398" s="1"/>
  <c r="G1393"/>
  <c r="G1394" s="1"/>
  <c r="G1390"/>
  <c r="G1391" s="1"/>
  <c r="G1389"/>
  <c r="G1388"/>
  <c r="G1385"/>
  <c r="G1384"/>
  <c r="G1383"/>
  <c r="G1382"/>
  <c r="G1381"/>
  <c r="G1380"/>
  <c r="G1386" s="1"/>
  <c r="G1379"/>
  <c r="G1366"/>
  <c r="G1365"/>
  <c r="G1363"/>
  <c r="E1359"/>
  <c r="E1358"/>
  <c r="E1357"/>
  <c r="E1356"/>
  <c r="E1355"/>
  <c r="E1354"/>
  <c r="G1354" s="1"/>
  <c r="E1353"/>
  <c r="G1353"/>
  <c r="AO1078" i="7"/>
  <c r="AO1077"/>
  <c r="AO1076"/>
  <c r="AO1075"/>
  <c r="AO1074"/>
  <c r="AO1073"/>
  <c r="AO1072"/>
  <c r="AO1079"/>
  <c r="AO1059"/>
  <c r="AO1067"/>
  <c r="AO1043"/>
  <c r="AC1032"/>
  <c r="AO1032" s="1"/>
  <c r="AO1039" s="1"/>
  <c r="AC1031"/>
  <c r="AO1031"/>
  <c r="AO1151"/>
  <c r="AO1150"/>
  <c r="AO1149"/>
  <c r="AO1148"/>
  <c r="AO1147"/>
  <c r="AO1146"/>
  <c r="AO1152" s="1"/>
  <c r="AO1145"/>
  <c r="AO1116"/>
  <c r="AC1105"/>
  <c r="AC1104"/>
  <c r="AO1104"/>
  <c r="AO1005"/>
  <c r="AO1004"/>
  <c r="AO1003"/>
  <c r="AO1002"/>
  <c r="AO1001"/>
  <c r="AO1000"/>
  <c r="AO999"/>
  <c r="AO1006"/>
  <c r="AO970"/>
  <c r="AC959"/>
  <c r="AO959" s="1"/>
  <c r="AC958"/>
  <c r="AC230" i="4"/>
  <c r="AO230"/>
  <c r="AC229"/>
  <c r="AO229"/>
  <c r="AC228"/>
  <c r="AO228"/>
  <c r="AO236" s="1"/>
  <c r="AC157"/>
  <c r="AC156"/>
  <c r="AC155"/>
  <c r="F1347" i="11"/>
  <c r="G1347" s="1"/>
  <c r="G1348" s="1"/>
  <c r="E22" i="6" s="1"/>
  <c r="AO640" i="10"/>
  <c r="AO639"/>
  <c r="AO638"/>
  <c r="AO637"/>
  <c r="AO636"/>
  <c r="AO635"/>
  <c r="AO634"/>
  <c r="AO641" s="1"/>
  <c r="AO625"/>
  <c r="AO629" s="1"/>
  <c r="AO622"/>
  <c r="AO621"/>
  <c r="AO607"/>
  <c r="AO606"/>
  <c r="AO605"/>
  <c r="AC593"/>
  <c r="AO202"/>
  <c r="AO201"/>
  <c r="AO200"/>
  <c r="AO199"/>
  <c r="AO198"/>
  <c r="AO197"/>
  <c r="AO196"/>
  <c r="AO203" s="1"/>
  <c r="AO187"/>
  <c r="AO191" s="1"/>
  <c r="AO184"/>
  <c r="AO183"/>
  <c r="AO169"/>
  <c r="AO168"/>
  <c r="AO167"/>
  <c r="AC155"/>
  <c r="AO752"/>
  <c r="AO713"/>
  <c r="AO712"/>
  <c r="AO711"/>
  <c r="AO710"/>
  <c r="AO709"/>
  <c r="AO708"/>
  <c r="AO707"/>
  <c r="AO714"/>
  <c r="AO698"/>
  <c r="AO695"/>
  <c r="AO694"/>
  <c r="AO702" s="1"/>
  <c r="AO680"/>
  <c r="AO679"/>
  <c r="AO678"/>
  <c r="AK686" s="1"/>
  <c r="AO686" s="1"/>
  <c r="AO687" s="1"/>
  <c r="AC666"/>
  <c r="AO567"/>
  <c r="AO566"/>
  <c r="AO565"/>
  <c r="AO564"/>
  <c r="AO563"/>
  <c r="AO562"/>
  <c r="AO568" s="1"/>
  <c r="AO561"/>
  <c r="AO552"/>
  <c r="AO549"/>
  <c r="AO556" s="1"/>
  <c r="AO548"/>
  <c r="AO534"/>
  <c r="AO533"/>
  <c r="AO532"/>
  <c r="AC520"/>
  <c r="AO494"/>
  <c r="AO493"/>
  <c r="AO492"/>
  <c r="AO491"/>
  <c r="AO490"/>
  <c r="AO489"/>
  <c r="AO488"/>
  <c r="AO495" s="1"/>
  <c r="AO479"/>
  <c r="AO476"/>
  <c r="AO475"/>
  <c r="AO461"/>
  <c r="AO460"/>
  <c r="AO459"/>
  <c r="AC447"/>
  <c r="AO447" s="1"/>
  <c r="AO455" s="1"/>
  <c r="AO421"/>
  <c r="AO420"/>
  <c r="AO419"/>
  <c r="AO418"/>
  <c r="AO417"/>
  <c r="AO416"/>
  <c r="AO422" s="1"/>
  <c r="AO415"/>
  <c r="AO406"/>
  <c r="AO403"/>
  <c r="AO402"/>
  <c r="AO410" s="1"/>
  <c r="AO388"/>
  <c r="AO387"/>
  <c r="AO386"/>
  <c r="AC374"/>
  <c r="AO348"/>
  <c r="AO347"/>
  <c r="AO346"/>
  <c r="AO345"/>
  <c r="AO344"/>
  <c r="AO343"/>
  <c r="AO349" s="1"/>
  <c r="AO342"/>
  <c r="AO333"/>
  <c r="AO330"/>
  <c r="AO329"/>
  <c r="AO337" s="1"/>
  <c r="AO315"/>
  <c r="AO314"/>
  <c r="AK321" s="1"/>
  <c r="AO321" s="1"/>
  <c r="AO322" s="1"/>
  <c r="AO313"/>
  <c r="AC301"/>
  <c r="AO301" s="1"/>
  <c r="AO309" s="1"/>
  <c r="AO275"/>
  <c r="AO274"/>
  <c r="AO273"/>
  <c r="AO272"/>
  <c r="AO271"/>
  <c r="AO270"/>
  <c r="AO269"/>
  <c r="AO276" s="1"/>
  <c r="AO260"/>
  <c r="AO257"/>
  <c r="AO256"/>
  <c r="AO242"/>
  <c r="AO241"/>
  <c r="AK248" s="1"/>
  <c r="AO248" s="1"/>
  <c r="AO249" s="1"/>
  <c r="AO240"/>
  <c r="AC228"/>
  <c r="AO129"/>
  <c r="AO128"/>
  <c r="AO127"/>
  <c r="AO126"/>
  <c r="AO125"/>
  <c r="AO124"/>
  <c r="AO130" s="1"/>
  <c r="AO123"/>
  <c r="AO114"/>
  <c r="AO111"/>
  <c r="AO118" s="1"/>
  <c r="AO110"/>
  <c r="AO96"/>
  <c r="AO95"/>
  <c r="AO94"/>
  <c r="AK102" s="1"/>
  <c r="AO102" s="1"/>
  <c r="AC82"/>
  <c r="AO56"/>
  <c r="AO55"/>
  <c r="AO54"/>
  <c r="AO53"/>
  <c r="AO52"/>
  <c r="AO51"/>
  <c r="AO50"/>
  <c r="AO57" s="1"/>
  <c r="AO41"/>
  <c r="AO38"/>
  <c r="AO37"/>
  <c r="AO45" s="1"/>
  <c r="AO23"/>
  <c r="AO22"/>
  <c r="AO21"/>
  <c r="AC9"/>
  <c r="AO9" s="1"/>
  <c r="AO17" s="1"/>
  <c r="AO202" i="4"/>
  <c r="AO201"/>
  <c r="AO200"/>
  <c r="AO199"/>
  <c r="AO198"/>
  <c r="AO197"/>
  <c r="AO196"/>
  <c r="AO203"/>
  <c r="AO195"/>
  <c r="AO187"/>
  <c r="AO186"/>
  <c r="AO185"/>
  <c r="AO184"/>
  <c r="AO183"/>
  <c r="AO170"/>
  <c r="AO169"/>
  <c r="AK175" s="1"/>
  <c r="AO175" s="1"/>
  <c r="AO176" s="1"/>
  <c r="AO168"/>
  <c r="AO167"/>
  <c r="C19" i="6"/>
  <c r="AO859" i="7"/>
  <c r="AO858"/>
  <c r="AO857"/>
  <c r="AO856"/>
  <c r="AO855"/>
  <c r="AO854"/>
  <c r="AO853"/>
  <c r="AO860"/>
  <c r="AO842"/>
  <c r="AO824"/>
  <c r="AO916"/>
  <c r="AO913"/>
  <c r="AO786"/>
  <c r="AO785"/>
  <c r="AO784"/>
  <c r="AO783"/>
  <c r="AO782"/>
  <c r="AO781"/>
  <c r="AO787" s="1"/>
  <c r="AO780"/>
  <c r="AO770"/>
  <c r="AO768"/>
  <c r="AO751"/>
  <c r="AK759" s="1"/>
  <c r="AO759" s="1"/>
  <c r="AO747"/>
  <c r="AO713"/>
  <c r="AO712"/>
  <c r="AO711"/>
  <c r="AO710"/>
  <c r="AO709"/>
  <c r="AO708"/>
  <c r="AO714" s="1"/>
  <c r="AO707"/>
  <c r="AO698"/>
  <c r="AO697"/>
  <c r="AO696"/>
  <c r="AO695"/>
  <c r="AO678"/>
  <c r="AK686" s="1"/>
  <c r="AO686" s="1"/>
  <c r="AO674"/>
  <c r="AO640"/>
  <c r="AO639"/>
  <c r="AO638"/>
  <c r="AO637"/>
  <c r="AO636"/>
  <c r="AO635"/>
  <c r="AO634"/>
  <c r="AO641"/>
  <c r="AO624"/>
  <c r="AO622"/>
  <c r="AO605"/>
  <c r="AK613"/>
  <c r="AO613" s="1"/>
  <c r="AO614" s="1"/>
  <c r="AO616" s="1"/>
  <c r="AO617" s="1"/>
  <c r="AO601"/>
  <c r="AO567"/>
  <c r="AO566"/>
  <c r="AO565"/>
  <c r="AO564"/>
  <c r="AO563"/>
  <c r="AO562"/>
  <c r="AO568" s="1"/>
  <c r="AO561"/>
  <c r="AO552"/>
  <c r="AO549"/>
  <c r="AO532"/>
  <c r="AO528"/>
  <c r="G534" i="11"/>
  <c r="G529"/>
  <c r="G527"/>
  <c r="G496"/>
  <c r="G516"/>
  <c r="G493"/>
  <c r="G489"/>
  <c r="G488"/>
  <c r="G549"/>
  <c r="G542"/>
  <c r="G463"/>
  <c r="G446"/>
  <c r="G442"/>
  <c r="AO747" i="10"/>
  <c r="AO751"/>
  <c r="AO767"/>
  <c r="AO775" s="1"/>
  <c r="AO768"/>
  <c r="AO771"/>
  <c r="AO780"/>
  <c r="AO787" s="1"/>
  <c r="AO781"/>
  <c r="AO782"/>
  <c r="AO783"/>
  <c r="AO784"/>
  <c r="AO785"/>
  <c r="AO786"/>
  <c r="AO17" i="9"/>
  <c r="AO21"/>
  <c r="AO22"/>
  <c r="AO23"/>
  <c r="AO46"/>
  <c r="AO51"/>
  <c r="AO52"/>
  <c r="AO53"/>
  <c r="AO58" s="1"/>
  <c r="AO54"/>
  <c r="AO55"/>
  <c r="AO56"/>
  <c r="AO57"/>
  <c r="AO17" i="7"/>
  <c r="AO21"/>
  <c r="AO37"/>
  <c r="AO39"/>
  <c r="AO41"/>
  <c r="AO43"/>
  <c r="AO51"/>
  <c r="AO57" s="1"/>
  <c r="AO52"/>
  <c r="AO53"/>
  <c r="AO54"/>
  <c r="AO55"/>
  <c r="AO56"/>
  <c r="AO90"/>
  <c r="AO94"/>
  <c r="AO111"/>
  <c r="AO113"/>
  <c r="AO123"/>
  <c r="AO124"/>
  <c r="AO125"/>
  <c r="AO126"/>
  <c r="AO127"/>
  <c r="AO130" s="1"/>
  <c r="AO128"/>
  <c r="AO129"/>
  <c r="AO163"/>
  <c r="AO167"/>
  <c r="AK175" s="1"/>
  <c r="AO175" s="1"/>
  <c r="AO176" s="1"/>
  <c r="AO178" s="1"/>
  <c r="AO179" s="1"/>
  <c r="AO183"/>
  <c r="AO184"/>
  <c r="AO185"/>
  <c r="AO191" s="1"/>
  <c r="AO186"/>
  <c r="AO196"/>
  <c r="AO203" s="1"/>
  <c r="AO197"/>
  <c r="AO198"/>
  <c r="AO199"/>
  <c r="AO200"/>
  <c r="AO201"/>
  <c r="AO202"/>
  <c r="AO236"/>
  <c r="AO240"/>
  <c r="AK248"/>
  <c r="AO248" s="1"/>
  <c r="AO249" s="1"/>
  <c r="AO251" s="1"/>
  <c r="AO252" s="1"/>
  <c r="AO257"/>
  <c r="AO259"/>
  <c r="AO269"/>
  <c r="AO270"/>
  <c r="AO271"/>
  <c r="AO272"/>
  <c r="AO273"/>
  <c r="AO274"/>
  <c r="AO275"/>
  <c r="AO276" s="1"/>
  <c r="AO309"/>
  <c r="AO313"/>
  <c r="AK321" s="1"/>
  <c r="AO321" s="1"/>
  <c r="AO322" s="1"/>
  <c r="AO324" s="1"/>
  <c r="AO325" s="1"/>
  <c r="AO329"/>
  <c r="AO330"/>
  <c r="AO337" s="1"/>
  <c r="AO331"/>
  <c r="AO332"/>
  <c r="AO342"/>
  <c r="AO349" s="1"/>
  <c r="AO343"/>
  <c r="AO344"/>
  <c r="AO345"/>
  <c r="AO346"/>
  <c r="AO347"/>
  <c r="AO348"/>
  <c r="AO382"/>
  <c r="AO386"/>
  <c r="AO403"/>
  <c r="AO415"/>
  <c r="AO422" s="1"/>
  <c r="AO416"/>
  <c r="AO417"/>
  <c r="AO418"/>
  <c r="AO419"/>
  <c r="AO420"/>
  <c r="AO421"/>
  <c r="AO455"/>
  <c r="AO459"/>
  <c r="AO475"/>
  <c r="AO483" s="1"/>
  <c r="AO476"/>
  <c r="AO477"/>
  <c r="AO478"/>
  <c r="AO488"/>
  <c r="AO489"/>
  <c r="AO495" s="1"/>
  <c r="AO490"/>
  <c r="AO491"/>
  <c r="AO492"/>
  <c r="AO493"/>
  <c r="AO494"/>
  <c r="AO897"/>
  <c r="AK905" s="1"/>
  <c r="AO905" s="1"/>
  <c r="AO906" s="1"/>
  <c r="AO914"/>
  <c r="AO921" s="1"/>
  <c r="AO926"/>
  <c r="AO927"/>
  <c r="AO928"/>
  <c r="AO933" s="1"/>
  <c r="AO929"/>
  <c r="AO930"/>
  <c r="AO931"/>
  <c r="AO932"/>
  <c r="AO17" i="5"/>
  <c r="AO21"/>
  <c r="AO22"/>
  <c r="AO37"/>
  <c r="AO45" s="1"/>
  <c r="AO38"/>
  <c r="AO39"/>
  <c r="AO40"/>
  <c r="AO41"/>
  <c r="AO50"/>
  <c r="AO51"/>
  <c r="AO52"/>
  <c r="AO53"/>
  <c r="AO57" s="1"/>
  <c r="AO54"/>
  <c r="AO55"/>
  <c r="AO56"/>
  <c r="AO90"/>
  <c r="AK102"/>
  <c r="AO102"/>
  <c r="AO103" s="1"/>
  <c r="AO105" s="1"/>
  <c r="AO106" s="1"/>
  <c r="AO110"/>
  <c r="AO111"/>
  <c r="AO118" s="1"/>
  <c r="AO112"/>
  <c r="AO113"/>
  <c r="AO114"/>
  <c r="AO123"/>
  <c r="AO124"/>
  <c r="AO125"/>
  <c r="AO126"/>
  <c r="AO127"/>
  <c r="AO128"/>
  <c r="AO129"/>
  <c r="AC155"/>
  <c r="AC156"/>
  <c r="AO156" s="1"/>
  <c r="AC157"/>
  <c r="AC158"/>
  <c r="AC159"/>
  <c r="AO159"/>
  <c r="AC160"/>
  <c r="AC161"/>
  <c r="AO161" s="1"/>
  <c r="AO167"/>
  <c r="AO168"/>
  <c r="AO169"/>
  <c r="AO170"/>
  <c r="AO183"/>
  <c r="AO184"/>
  <c r="AO185"/>
  <c r="AO186"/>
  <c r="AO187"/>
  <c r="AO188"/>
  <c r="AO189"/>
  <c r="AO190"/>
  <c r="AO197"/>
  <c r="AO204" s="1"/>
  <c r="AO198"/>
  <c r="AO199"/>
  <c r="AO200"/>
  <c r="AO201"/>
  <c r="AO202"/>
  <c r="AO203"/>
  <c r="AO17" i="4"/>
  <c r="AO21"/>
  <c r="AK29" s="1"/>
  <c r="AO29" s="1"/>
  <c r="AO30" s="1"/>
  <c r="AO32" s="1"/>
  <c r="AO33" s="1"/>
  <c r="AO59" s="1"/>
  <c r="AO37"/>
  <c r="AO45"/>
  <c r="AO49"/>
  <c r="AO50"/>
  <c r="AO57" s="1"/>
  <c r="AO51"/>
  <c r="AO52"/>
  <c r="AO53"/>
  <c r="AO54"/>
  <c r="AO55"/>
  <c r="AO56"/>
  <c r="AO90"/>
  <c r="AO94"/>
  <c r="AO110"/>
  <c r="AO111"/>
  <c r="AO126"/>
  <c r="AO127"/>
  <c r="AO128"/>
  <c r="AO129"/>
  <c r="AO130"/>
  <c r="AO240"/>
  <c r="AO241"/>
  <c r="AO242"/>
  <c r="AO243"/>
  <c r="AK248" s="1"/>
  <c r="AO248" s="1"/>
  <c r="AO249" s="1"/>
  <c r="AO256"/>
  <c r="AO257"/>
  <c r="AO258"/>
  <c r="AO259"/>
  <c r="AO264" s="1"/>
  <c r="AO260"/>
  <c r="AO268"/>
  <c r="AO269"/>
  <c r="AO270"/>
  <c r="AO276" s="1"/>
  <c r="AO271"/>
  <c r="AO272"/>
  <c r="AO273"/>
  <c r="AO274"/>
  <c r="AO275"/>
  <c r="G406" i="11"/>
  <c r="G408"/>
  <c r="G723"/>
  <c r="G728"/>
  <c r="G729"/>
  <c r="G730"/>
  <c r="G731"/>
  <c r="G732"/>
  <c r="G733"/>
  <c r="G734"/>
  <c r="G736"/>
  <c r="G737"/>
  <c r="G738"/>
  <c r="G741"/>
  <c r="G742"/>
  <c r="G743"/>
  <c r="G744"/>
  <c r="G745"/>
  <c r="G746"/>
  <c r="G747"/>
  <c r="G748"/>
  <c r="G749"/>
  <c r="G750"/>
  <c r="G751"/>
  <c r="G754"/>
  <c r="G758" s="1"/>
  <c r="G755"/>
  <c r="G756"/>
  <c r="G757"/>
  <c r="G917"/>
  <c r="G918"/>
  <c r="G921"/>
  <c r="G922"/>
  <c r="G923"/>
  <c r="G924"/>
  <c r="G925"/>
  <c r="G928"/>
  <c r="G929"/>
  <c r="G930"/>
  <c r="G933"/>
  <c r="G934"/>
  <c r="G935"/>
  <c r="G938"/>
  <c r="G939"/>
  <c r="G940"/>
  <c r="G941"/>
  <c r="G942"/>
  <c r="G945"/>
  <c r="G946"/>
  <c r="G947"/>
  <c r="G948"/>
  <c r="G954"/>
  <c r="G955"/>
  <c r="G956"/>
  <c r="G957"/>
  <c r="G958"/>
  <c r="G959"/>
  <c r="G960"/>
  <c r="G961"/>
  <c r="G962"/>
  <c r="G963"/>
  <c r="G965"/>
  <c r="G966"/>
  <c r="G968"/>
  <c r="G969"/>
  <c r="G970"/>
  <c r="G971"/>
  <c r="G972"/>
  <c r="G973"/>
  <c r="G974"/>
  <c r="G975"/>
  <c r="G976"/>
  <c r="G977"/>
  <c r="G978"/>
  <c r="G979"/>
  <c r="G980"/>
  <c r="G981"/>
  <c r="G982"/>
  <c r="F983"/>
  <c r="G983" s="1"/>
  <c r="F984"/>
  <c r="G984" s="1"/>
  <c r="G985"/>
  <c r="G986"/>
  <c r="G990"/>
  <c r="G991"/>
  <c r="G992"/>
  <c r="G993"/>
  <c r="G994"/>
  <c r="G995"/>
  <c r="G996"/>
  <c r="G997"/>
  <c r="G998"/>
  <c r="G999"/>
  <c r="G1000"/>
  <c r="G1001"/>
  <c r="G1002"/>
  <c r="G1003"/>
  <c r="G1004"/>
  <c r="G1010"/>
  <c r="G1012"/>
  <c r="G1014"/>
  <c r="G1018"/>
  <c r="G1020"/>
  <c r="G1022"/>
  <c r="G1026"/>
  <c r="G1030"/>
  <c r="G1032"/>
  <c r="G1034"/>
  <c r="G1038"/>
  <c r="G1039"/>
  <c r="G1041"/>
  <c r="G1047"/>
  <c r="G1048"/>
  <c r="G1049"/>
  <c r="G1050"/>
  <c r="G1055"/>
  <c r="G1057"/>
  <c r="G1061"/>
  <c r="G1063"/>
  <c r="G1065"/>
  <c r="G1067"/>
  <c r="G1076"/>
  <c r="G1078"/>
  <c r="G1079"/>
  <c r="G1080"/>
  <c r="G1081"/>
  <c r="G1082"/>
  <c r="G1083"/>
  <c r="G1084"/>
  <c r="G1085"/>
  <c r="G1088"/>
  <c r="G1089"/>
  <c r="G1091"/>
  <c r="G1092"/>
  <c r="G1093"/>
  <c r="G1094"/>
  <c r="G1095"/>
  <c r="G1096"/>
  <c r="G1097"/>
  <c r="G1098"/>
  <c r="G1099"/>
  <c r="G1100"/>
  <c r="G1101"/>
  <c r="G1102"/>
  <c r="G1103"/>
  <c r="G1104"/>
  <c r="G1105"/>
  <c r="F1106"/>
  <c r="G1106" s="1"/>
  <c r="F1107"/>
  <c r="G1107" s="1"/>
  <c r="G1108"/>
  <c r="G1109"/>
  <c r="G1113"/>
  <c r="G1114"/>
  <c r="G1115"/>
  <c r="G1116"/>
  <c r="G1117"/>
  <c r="G1118"/>
  <c r="G1119"/>
  <c r="G1120"/>
  <c r="G1121"/>
  <c r="G1122"/>
  <c r="G1123"/>
  <c r="G1124"/>
  <c r="G1125"/>
  <c r="G1126"/>
  <c r="G1127"/>
  <c r="G1133"/>
  <c r="G1135"/>
  <c r="G1137"/>
  <c r="G1139"/>
  <c r="G1141"/>
  <c r="G1143"/>
  <c r="G1145"/>
  <c r="G1147"/>
  <c r="G1149"/>
  <c r="G1151"/>
  <c r="G1153"/>
  <c r="G1155"/>
  <c r="G1157"/>
  <c r="G1159"/>
  <c r="G1161"/>
  <c r="G1163"/>
  <c r="G1165"/>
  <c r="F1169"/>
  <c r="G1169" s="1"/>
  <c r="G1170"/>
  <c r="G1171"/>
  <c r="G1172"/>
  <c r="G1179"/>
  <c r="G1185"/>
  <c r="G1187"/>
  <c r="G1189"/>
  <c r="C3" i="6"/>
  <c r="C4"/>
  <c r="C5"/>
  <c r="C6"/>
  <c r="C7"/>
  <c r="C8"/>
  <c r="C9"/>
  <c r="C10"/>
  <c r="C11"/>
  <c r="C12"/>
  <c r="C13"/>
  <c r="C14"/>
  <c r="C15"/>
  <c r="C16"/>
  <c r="C17"/>
  <c r="C18"/>
  <c r="G394" i="11"/>
  <c r="AK102" i="20"/>
  <c r="AO102" s="1"/>
  <c r="AO103" s="1"/>
  <c r="AO105" s="1"/>
  <c r="AO106" s="1"/>
  <c r="AK175"/>
  <c r="AO175"/>
  <c r="AO176" s="1"/>
  <c r="AO178" s="1"/>
  <c r="AO179" s="1"/>
  <c r="G181" i="11"/>
  <c r="AK467" i="7"/>
  <c r="AO467" s="1"/>
  <c r="AO468" s="1"/>
  <c r="AO470" s="1"/>
  <c r="AO471" s="1"/>
  <c r="AO497" s="1"/>
  <c r="AK29"/>
  <c r="AO29" s="1"/>
  <c r="AO30" s="1"/>
  <c r="AO32" s="1"/>
  <c r="AO33" s="1"/>
  <c r="AO59" s="1"/>
  <c r="AK540"/>
  <c r="AO540" s="1"/>
  <c r="G572" i="11"/>
  <c r="G599"/>
  <c r="G702"/>
  <c r="G213"/>
  <c r="G217"/>
  <c r="G211"/>
  <c r="AO483" i="10"/>
  <c r="AO156" i="4"/>
  <c r="AO155" i="5"/>
  <c r="AO158"/>
  <c r="AO160"/>
  <c r="AO958" i="7"/>
  <c r="AO1105"/>
  <c r="AO1112" s="1"/>
  <c r="AO82" i="10"/>
  <c r="AO90" s="1"/>
  <c r="AO155"/>
  <c r="AO163" s="1"/>
  <c r="AO228"/>
  <c r="AO236" s="1"/>
  <c r="AO374"/>
  <c r="AO382" s="1"/>
  <c r="AO520"/>
  <c r="AO528"/>
  <c r="AO593"/>
  <c r="AO601" s="1"/>
  <c r="AO666"/>
  <c r="AO674" s="1"/>
  <c r="G215" i="11"/>
  <c r="G214"/>
  <c r="G224"/>
  <c r="G203"/>
  <c r="G205"/>
  <c r="AO812" i="7"/>
  <c r="AO886"/>
  <c r="AO338" i="4"/>
  <c r="G183" i="11"/>
  <c r="AK394" i="7"/>
  <c r="AO394" s="1"/>
  <c r="AO395" s="1"/>
  <c r="G560" i="11"/>
  <c r="G584"/>
  <c r="G611"/>
  <c r="G182"/>
  <c r="AO155" i="4"/>
  <c r="F1356" i="11"/>
  <c r="AK102" i="4"/>
  <c r="AO102"/>
  <c r="AO103" s="1"/>
  <c r="AO105" s="1"/>
  <c r="AO106" s="1"/>
  <c r="G407" i="11"/>
  <c r="G298"/>
  <c r="G280"/>
  <c r="AK832" i="7"/>
  <c r="AO832" s="1"/>
  <c r="AO833" s="1"/>
  <c r="AO1178"/>
  <c r="AO1323"/>
  <c r="G254" i="11"/>
  <c r="G237"/>
  <c r="G271"/>
  <c r="G341"/>
  <c r="G324"/>
  <c r="G358"/>
  <c r="G393"/>
  <c r="G375"/>
  <c r="G289"/>
  <c r="G307"/>
  <c r="G354"/>
  <c r="G267"/>
  <c r="G250"/>
  <c r="G320"/>
  <c r="G389"/>
  <c r="G303"/>
  <c r="G233"/>
  <c r="G337"/>
  <c r="G371"/>
  <c r="G285"/>
  <c r="G269"/>
  <c r="G339"/>
  <c r="G287"/>
  <c r="G391"/>
  <c r="G305"/>
  <c r="G235"/>
  <c r="G252"/>
  <c r="G373"/>
  <c r="G322"/>
  <c r="G356"/>
  <c r="AO130" i="5"/>
  <c r="AO157"/>
  <c r="AK29"/>
  <c r="AO29" s="1"/>
  <c r="AO30" s="1"/>
  <c r="AO32" s="1"/>
  <c r="AO33" s="1"/>
  <c r="AK29" i="10"/>
  <c r="AO29" s="1"/>
  <c r="AO30" s="1"/>
  <c r="AK467"/>
  <c r="AO467" s="1"/>
  <c r="AO468" s="1"/>
  <c r="AK540"/>
  <c r="AO540" s="1"/>
  <c r="AO541" s="1"/>
  <c r="AO543" s="1"/>
  <c r="AO544" s="1"/>
  <c r="AO570" s="1"/>
  <c r="AK1051" i="7"/>
  <c r="AO1051" s="1"/>
  <c r="AO1052" s="1"/>
  <c r="AK102"/>
  <c r="AO102" s="1"/>
  <c r="AO103" s="1"/>
  <c r="AO105" s="1"/>
  <c r="AO106" s="1"/>
  <c r="AK1124"/>
  <c r="AO1124" s="1"/>
  <c r="AO1125" s="1"/>
  <c r="AO120" i="4"/>
  <c r="G435" i="11"/>
  <c r="AK978" i="7"/>
  <c r="AO978" s="1"/>
  <c r="AO979" s="1"/>
  <c r="AK29" i="20"/>
  <c r="AO29" s="1"/>
  <c r="AO30" s="1"/>
  <c r="AO32" s="1"/>
  <c r="AO33" s="1"/>
  <c r="AO192" i="5"/>
  <c r="AO1250" i="7"/>
  <c r="AK175" i="5"/>
  <c r="AO175" s="1"/>
  <c r="AO176" s="1"/>
  <c r="AK613" i="10"/>
  <c r="AO613" s="1"/>
  <c r="AO614" s="1"/>
  <c r="AO813" i="7"/>
  <c r="AO820" s="1"/>
  <c r="AO191" i="4"/>
  <c r="AK29" i="19"/>
  <c r="AO29" s="1"/>
  <c r="AO30" s="1"/>
  <c r="AK759" i="10"/>
  <c r="AO759" s="1"/>
  <c r="AO760" s="1"/>
  <c r="AO762" s="1"/>
  <c r="AO763" s="1"/>
  <c r="AK394"/>
  <c r="AO394" s="1"/>
  <c r="AO395" s="1"/>
  <c r="AK322" i="4"/>
  <c r="AO322"/>
  <c r="G432" i="11"/>
  <c r="G1360"/>
  <c r="G433"/>
  <c r="AK29" i="9"/>
  <c r="AO29" s="1"/>
  <c r="AO30" s="1"/>
  <c r="AO32" s="1"/>
  <c r="AO33" s="1"/>
  <c r="AO323" i="4"/>
  <c r="AO325"/>
  <c r="AO326" s="1"/>
  <c r="AO352" s="1"/>
  <c r="AO1177" i="7" l="1"/>
  <c r="G1367" i="11"/>
  <c r="G1420"/>
  <c r="G660"/>
  <c r="G949"/>
  <c r="E11" i="6" s="1"/>
  <c r="G677" i="11"/>
  <c r="G1408"/>
  <c r="G1355"/>
  <c r="G1359"/>
  <c r="G1356"/>
  <c r="G1128"/>
  <c r="G1404"/>
  <c r="G1416"/>
  <c r="G1402"/>
  <c r="G752"/>
  <c r="G1405"/>
  <c r="G703"/>
  <c r="E7" i="6" s="1"/>
  <c r="G1110" i="11"/>
  <c r="E15" i="6" s="1"/>
  <c r="G1005" i="11"/>
  <c r="G1406"/>
  <c r="AO1331" i="7"/>
  <c r="AO1185"/>
  <c r="AO1324"/>
  <c r="AO1396"/>
  <c r="G52" i="11"/>
  <c r="G1358"/>
  <c r="G1403"/>
  <c r="G1344"/>
  <c r="E20" i="6" s="1"/>
  <c r="G436" i="11"/>
  <c r="G1352"/>
  <c r="G1361" s="1"/>
  <c r="G1368" s="1"/>
  <c r="G1369" s="1"/>
  <c r="E23" i="6" s="1"/>
  <c r="G1006" i="11"/>
  <c r="G1007" s="1"/>
  <c r="E13" i="6" s="1"/>
  <c r="AO251" i="4"/>
  <c r="AO252" s="1"/>
  <c r="AO278" s="1"/>
  <c r="AO132" i="5"/>
  <c r="AO278" i="7"/>
  <c r="AO689" i="10"/>
  <c r="AO690" s="1"/>
  <c r="AO716" s="1"/>
  <c r="AO59" i="16"/>
  <c r="AO326" i="5"/>
  <c r="AO327" s="1"/>
  <c r="G1129" i="11"/>
  <c r="G1130" s="1"/>
  <c r="E16" i="6" s="1"/>
  <c r="AO205" i="7"/>
  <c r="G1425" i="11"/>
  <c r="AO629" i="7"/>
  <c r="AO643" s="1"/>
  <c r="AO644" s="1"/>
  <c r="AO645" s="1"/>
  <c r="F422" i="11" s="1"/>
  <c r="G422" s="1"/>
  <c r="AO1140" i="7"/>
  <c r="AO251" i="10"/>
  <c r="AO252" s="1"/>
  <c r="G759" i="11"/>
  <c r="E9" i="6" s="1"/>
  <c r="AO848" i="7"/>
  <c r="AO994"/>
  <c r="G724" i="11"/>
  <c r="E8" i="6" s="1"/>
  <c r="AO60" i="9"/>
  <c r="AO789" i="10"/>
  <c r="AO966" i="7"/>
  <c r="AO163" i="5"/>
  <c r="AO178" s="1"/>
  <c r="AO179" s="1"/>
  <c r="AO206" s="1"/>
  <c r="AO132" i="20"/>
  <c r="AO835" i="7"/>
  <c r="AO836" s="1"/>
  <c r="AO862" s="1"/>
  <c r="AO470" i="10"/>
  <c r="AO471" s="1"/>
  <c r="AO497" s="1"/>
  <c r="AO499" s="1"/>
  <c r="F1200" i="11" s="1"/>
  <c r="G1200" s="1"/>
  <c r="AO397" i="7"/>
  <c r="AO398" s="1"/>
  <c r="AO424" s="1"/>
  <c r="AO396" i="4"/>
  <c r="AO398" s="1"/>
  <c r="AO399" s="1"/>
  <c r="AO425" s="1"/>
  <c r="AO885" i="7"/>
  <c r="AO893" s="1"/>
  <c r="AO1251"/>
  <c r="AO1258" s="1"/>
  <c r="AO1397"/>
  <c r="AO1404" s="1"/>
  <c r="AO1419" s="1"/>
  <c r="AO1420" s="1"/>
  <c r="AO1446" s="1"/>
  <c r="AO354" i="5"/>
  <c r="AO59" i="20"/>
  <c r="AO132" i="4"/>
  <c r="AO133" s="1"/>
  <c r="AO134" s="1"/>
  <c r="AO205" i="20"/>
  <c r="AO206" s="1"/>
  <c r="AO207" s="1"/>
  <c r="G1407" i="11"/>
  <c r="G1409" s="1"/>
  <c r="G1426" s="1"/>
  <c r="G1427" s="1"/>
  <c r="E24" i="6" s="1"/>
  <c r="AO280" i="5"/>
  <c r="AO281" s="1"/>
  <c r="AO282" s="1"/>
  <c r="AO32" i="19"/>
  <c r="AO33" s="1"/>
  <c r="AO59" s="1"/>
  <c r="AO59" i="5"/>
  <c r="AO264" i="10"/>
  <c r="AO157" i="4"/>
  <c r="AO163" s="1"/>
  <c r="AO132" i="7"/>
  <c r="AO133" s="1"/>
  <c r="AO134" s="1"/>
  <c r="AO32" i="10"/>
  <c r="AO33" s="1"/>
  <c r="AO59" s="1"/>
  <c r="AO61" s="1"/>
  <c r="F953" i="11" s="1"/>
  <c r="G953" s="1"/>
  <c r="G987" s="1"/>
  <c r="E12" i="6" s="1"/>
  <c r="AO351" i="7"/>
  <c r="AK175" i="10"/>
  <c r="AO175" s="1"/>
  <c r="AO176" s="1"/>
  <c r="AO178" s="1"/>
  <c r="AO179" s="1"/>
  <c r="AO205" s="1"/>
  <c r="AO207" s="1"/>
  <c r="F1196" i="11" s="1"/>
  <c r="G1196" s="1"/>
  <c r="AO279" i="7"/>
  <c r="AO280" s="1"/>
  <c r="AO353" i="4"/>
  <c r="AO354" s="1"/>
  <c r="F80" i="11" s="1"/>
  <c r="G80" s="1"/>
  <c r="AO790" i="10"/>
  <c r="AO791" s="1"/>
  <c r="F1204" i="11" s="1"/>
  <c r="G1204" s="1"/>
  <c r="AO60" i="10"/>
  <c r="AO133" i="20"/>
  <c r="AO134" s="1"/>
  <c r="AO352" i="7"/>
  <c r="AO353" s="1"/>
  <c r="F459" i="11" s="1"/>
  <c r="G459" s="1"/>
  <c r="AO206" i="10"/>
  <c r="AO355" i="5"/>
  <c r="AO356" s="1"/>
  <c r="AO1346" i="7"/>
  <c r="AO1347" s="1"/>
  <c r="AO1373" s="1"/>
  <c r="AO981"/>
  <c r="AO982" s="1"/>
  <c r="AO1008" s="1"/>
  <c r="AO908"/>
  <c r="AO909" s="1"/>
  <c r="AO935" s="1"/>
  <c r="AO864"/>
  <c r="F427" i="11" s="1"/>
  <c r="G427" s="1"/>
  <c r="AO863" i="7"/>
  <c r="AO498" i="10"/>
  <c r="AO425" i="7"/>
  <c r="AO426" s="1"/>
  <c r="AO616" i="10"/>
  <c r="AO617" s="1"/>
  <c r="AO643" s="1"/>
  <c r="AO1054" i="7"/>
  <c r="AO1055" s="1"/>
  <c r="AO1081" s="1"/>
  <c r="AO103" i="10"/>
  <c r="AO105" s="1"/>
  <c r="AO106" s="1"/>
  <c r="AO132" s="1"/>
  <c r="AO324"/>
  <c r="AO325" s="1"/>
  <c r="AO351" s="1"/>
  <c r="AO61" i="9"/>
  <c r="AO62" s="1"/>
  <c r="AO60" i="20"/>
  <c r="AO61" s="1"/>
  <c r="AO60" i="7"/>
  <c r="AO61" s="1"/>
  <c r="AO498"/>
  <c r="AO499" s="1"/>
  <c r="F504" i="11" s="1"/>
  <c r="G504" s="1"/>
  <c r="AO717" i="10"/>
  <c r="AO718" s="1"/>
  <c r="F1203" i="11" s="1"/>
  <c r="G1203" s="1"/>
  <c r="AO427" i="4"/>
  <c r="F81" i="11" s="1"/>
  <c r="G81" s="1"/>
  <c r="AO426" i="4"/>
  <c r="AK1270" i="7"/>
  <c r="AO1270" s="1"/>
  <c r="AO1271" s="1"/>
  <c r="AO397" i="10"/>
  <c r="AO398" s="1"/>
  <c r="AO424" s="1"/>
  <c r="AO1127" i="7"/>
  <c r="AO1128" s="1"/>
  <c r="AO1154" s="1"/>
  <c r="AO178" i="4"/>
  <c r="AO179" s="1"/>
  <c r="AO205" s="1"/>
  <c r="AO279"/>
  <c r="AO280" s="1"/>
  <c r="F71" i="11" s="1"/>
  <c r="G71" s="1"/>
  <c r="AO60" i="4"/>
  <c r="AO61" s="1"/>
  <c r="AO60" i="19"/>
  <c r="AO61"/>
  <c r="F911" i="11" s="1"/>
  <c r="G911" s="1"/>
  <c r="G913" s="1"/>
  <c r="E10" i="6" s="1"/>
  <c r="AO571" i="10"/>
  <c r="AO572" s="1"/>
  <c r="F1201" i="11" s="1"/>
  <c r="G1201" s="1"/>
  <c r="AO60" i="5"/>
  <c r="AO61" s="1"/>
  <c r="F405" i="11" s="1"/>
  <c r="G405" s="1"/>
  <c r="AO206" i="7"/>
  <c r="AO207" s="1"/>
  <c r="AK1197"/>
  <c r="AO1197" s="1"/>
  <c r="AO1198" s="1"/>
  <c r="AO1200" s="1"/>
  <c r="AO1201" s="1"/>
  <c r="AO1227" s="1"/>
  <c r="AO541"/>
  <c r="AO543" s="1"/>
  <c r="AO544" s="1"/>
  <c r="AO570" s="1"/>
  <c r="AO687"/>
  <c r="AO689" s="1"/>
  <c r="AO690" s="1"/>
  <c r="AO716" s="1"/>
  <c r="AO760"/>
  <c r="AO762" s="1"/>
  <c r="AO763" s="1"/>
  <c r="AO789" s="1"/>
  <c r="AO1273" l="1"/>
  <c r="AO1274" s="1"/>
  <c r="AO1300" s="1"/>
  <c r="AO1301" s="1"/>
  <c r="AO1302" s="1"/>
  <c r="F479" i="11" s="1"/>
  <c r="G479" s="1"/>
  <c r="AO60" i="16"/>
  <c r="AO61"/>
  <c r="AO134" i="5"/>
  <c r="F404" i="11" s="1"/>
  <c r="G404" s="1"/>
  <c r="AO133" i="5"/>
  <c r="AO278" i="10"/>
  <c r="AO279" s="1"/>
  <c r="AO280" s="1"/>
  <c r="F1197" i="11" s="1"/>
  <c r="G1197" s="1"/>
  <c r="AO133" i="10"/>
  <c r="AO134" s="1"/>
  <c r="F1195" i="11" s="1"/>
  <c r="G1195" s="1"/>
  <c r="F502"/>
  <c r="G502" s="1"/>
  <c r="F458"/>
  <c r="G458" s="1"/>
  <c r="F530"/>
  <c r="G530" s="1"/>
  <c r="G536" s="1"/>
  <c r="F68"/>
  <c r="G68" s="1"/>
  <c r="F55"/>
  <c r="G55" s="1"/>
  <c r="F77"/>
  <c r="G77" s="1"/>
  <c r="F1175"/>
  <c r="G1175" s="1"/>
  <c r="F1053"/>
  <c r="G1053" s="1"/>
  <c r="G456"/>
  <c r="G500"/>
  <c r="G547"/>
  <c r="F1051"/>
  <c r="G1051" s="1"/>
  <c r="F1173"/>
  <c r="G1173" s="1"/>
  <c r="AO1228" i="7"/>
  <c r="AO1229" s="1"/>
  <c r="F1052" i="11"/>
  <c r="G1052" s="1"/>
  <c r="F1174"/>
  <c r="G1174" s="1"/>
  <c r="G460"/>
  <c r="G503"/>
  <c r="F483"/>
  <c r="G483" s="1"/>
  <c r="F519"/>
  <c r="G519" s="1"/>
  <c r="AO352" i="10"/>
  <c r="AO353"/>
  <c r="F1198" i="11" s="1"/>
  <c r="G1198" s="1"/>
  <c r="AO645" i="10"/>
  <c r="F1202" i="11" s="1"/>
  <c r="G1202" s="1"/>
  <c r="AO644" i="10"/>
  <c r="AO790" i="7"/>
  <c r="AO791"/>
  <c r="F482" i="11" s="1"/>
  <c r="G482" s="1"/>
  <c r="AO1156" i="7"/>
  <c r="F481" i="11" s="1"/>
  <c r="G481" s="1"/>
  <c r="AO1155" i="7"/>
  <c r="AO1009"/>
  <c r="AO1010" s="1"/>
  <c r="G457" i="11"/>
  <c r="G501"/>
  <c r="G548"/>
  <c r="AO206" i="4"/>
  <c r="AO207" s="1"/>
  <c r="AO571" i="7"/>
  <c r="AO572" s="1"/>
  <c r="F54" i="11"/>
  <c r="G54" s="1"/>
  <c r="F67"/>
  <c r="G67" s="1"/>
  <c r="F78"/>
  <c r="G78" s="1"/>
  <c r="AO1082" i="7"/>
  <c r="AO1083" s="1"/>
  <c r="F518" i="11" s="1"/>
  <c r="G518" s="1"/>
  <c r="AO208" i="5"/>
  <c r="F399" i="11" s="1"/>
  <c r="G399" s="1"/>
  <c r="G410" s="1"/>
  <c r="E5" i="6" s="1"/>
  <c r="AO207" i="5"/>
  <c r="AO1447" i="7"/>
  <c r="AO1448" s="1"/>
  <c r="F624" i="11" s="1"/>
  <c r="G624" s="1"/>
  <c r="G626" s="1"/>
  <c r="AO936" i="7"/>
  <c r="AO937" s="1"/>
  <c r="F428" i="11" s="1"/>
  <c r="G428" s="1"/>
  <c r="AO717" i="7"/>
  <c r="AO718" s="1"/>
  <c r="F423" i="11" s="1"/>
  <c r="G423" s="1"/>
  <c r="AO425" i="10"/>
  <c r="AO426" s="1"/>
  <c r="F1199" i="11" s="1"/>
  <c r="G1199" s="1"/>
  <c r="AO1374" i="7"/>
  <c r="AO1375" s="1"/>
  <c r="F480" i="11" s="1"/>
  <c r="G480" s="1"/>
  <c r="F153" l="1"/>
  <c r="G153" s="1"/>
  <c r="F107"/>
  <c r="G107" s="1"/>
  <c r="F161"/>
  <c r="G161" s="1"/>
  <c r="F116"/>
  <c r="G116" s="1"/>
  <c r="F125"/>
  <c r="G125" s="1"/>
  <c r="F89"/>
  <c r="G89" s="1"/>
  <c r="F145"/>
  <c r="G145" s="1"/>
  <c r="F98"/>
  <c r="G98" s="1"/>
  <c r="G1205"/>
  <c r="E18" i="6" s="1"/>
  <c r="G438" i="11"/>
  <c r="F59"/>
  <c r="G59" s="1"/>
  <c r="F46"/>
  <c r="G46" s="1"/>
  <c r="F517"/>
  <c r="G517" s="1"/>
  <c r="G520" s="1"/>
  <c r="F477"/>
  <c r="G477" s="1"/>
  <c r="F625"/>
  <c r="F478"/>
  <c r="G478" s="1"/>
  <c r="G1072"/>
  <c r="E14" i="6" s="1"/>
  <c r="G556" i="11"/>
  <c r="G568" s="1"/>
  <c r="G580" s="1"/>
  <c r="G595" s="1"/>
  <c r="G607" s="1"/>
  <c r="G1191"/>
  <c r="E17" i="6" s="1"/>
  <c r="G165" i="11" l="1"/>
  <c r="E4" i="6" s="1"/>
  <c r="G484" i="11"/>
  <c r="G627" s="1"/>
  <c r="E6" i="6" s="1"/>
  <c r="G82" i="11"/>
  <c r="E3" i="6" s="1"/>
  <c r="G1428" i="11" l="1"/>
  <c r="E26" i="6"/>
  <c r="D6" s="1"/>
  <c r="D23" l="1"/>
  <c r="D24"/>
  <c r="D22"/>
  <c r="D16"/>
  <c r="D13"/>
  <c r="D11"/>
  <c r="D7"/>
  <c r="D8"/>
  <c r="D21"/>
  <c r="D20"/>
  <c r="D9"/>
  <c r="D15"/>
  <c r="D12"/>
  <c r="D4"/>
  <c r="D10"/>
  <c r="D18"/>
  <c r="D5"/>
  <c r="D17"/>
  <c r="D14"/>
  <c r="D3"/>
</calcChain>
</file>

<file path=xl/sharedStrings.xml><?xml version="1.0" encoding="utf-8"?>
<sst xmlns="http://schemas.openxmlformats.org/spreadsheetml/2006/main" count="7335" uniqueCount="1648">
  <si>
    <t>160205U</t>
  </si>
  <si>
    <t>160220U</t>
  </si>
  <si>
    <t>160302U</t>
  </si>
  <si>
    <t>160303U</t>
  </si>
  <si>
    <t>160311U</t>
  </si>
  <si>
    <t>160312U</t>
  </si>
  <si>
    <t>160314U</t>
  </si>
  <si>
    <t>160317U</t>
  </si>
  <si>
    <t>160318U</t>
  </si>
  <si>
    <t>160320U</t>
  </si>
  <si>
    <t>160335U</t>
  </si>
  <si>
    <t>160336U</t>
  </si>
  <si>
    <t>160338U</t>
  </si>
  <si>
    <t>160342U</t>
  </si>
  <si>
    <t>160348U</t>
  </si>
  <si>
    <t>160354U</t>
  </si>
  <si>
    <t>160375U</t>
  </si>
  <si>
    <t>160701U</t>
  </si>
  <si>
    <t>161117U</t>
  </si>
  <si>
    <t>161180U</t>
  </si>
  <si>
    <t>161197U</t>
  </si>
  <si>
    <t xml:space="preserve">Joelho 90 PVC c/ visita 100 X 50 mm esgoto </t>
  </si>
  <si>
    <t>Luva simples PVC 50 mm esgoto</t>
  </si>
  <si>
    <t>Luva simples PVC 75 mm esgoto</t>
  </si>
  <si>
    <t>Vedação saída de vaso sanitário PVC 100 mm</t>
  </si>
  <si>
    <t>Anel de borracha 150 mm</t>
  </si>
  <si>
    <t>Bucha redução soldável  32 X 25 mm marca Tigre</t>
  </si>
  <si>
    <t>Bucha redução soldável  40 X 32 mm marca Tigre</t>
  </si>
  <si>
    <t>Bucha redução soldável  50 X 40 mm marca Tigre</t>
  </si>
  <si>
    <t>Luva de PVC soldável 32 mm marca Tigre</t>
  </si>
  <si>
    <t>Luva de PVC soldável 50 mm marca Tigre</t>
  </si>
  <si>
    <t>TE 90 de PVC soldável 32 mm marca Tigre</t>
  </si>
  <si>
    <t>TE 90 de PVC soldável 50 mm marca Tigre</t>
  </si>
  <si>
    <t>Joelho 90 LR soldável 1/2" X 25 mm marca Tigre</t>
  </si>
  <si>
    <t>Válvula esfera Ø 3/4"</t>
  </si>
  <si>
    <t>Válvula de descarga Deca Hydra 11/2" ref. 2515</t>
  </si>
  <si>
    <t>Registro de gaveta com canopla 3/4" marca Deca</t>
  </si>
  <si>
    <t xml:space="preserve">Engate flexível metálico 1/2" </t>
  </si>
  <si>
    <t>Tubo de ligação c/ canopla p/ bacia PVC 11/2"</t>
  </si>
  <si>
    <t>Válvula de fundo met. p/ lavatório 1" X 23/8"</t>
  </si>
  <si>
    <t>Caixa d'água de fibrocimento capacidade 250 litros</t>
  </si>
  <si>
    <t>SEMAFORIZAÇÃO</t>
  </si>
  <si>
    <t>ITEM</t>
  </si>
  <si>
    <t>CÓDIGO</t>
  </si>
  <si>
    <t>DISCRIMINAÇÃO</t>
  </si>
  <si>
    <t>UD</t>
  </si>
  <si>
    <t>PREÇO TOTAL</t>
  </si>
  <si>
    <t>Torneira de pressão, para uso geral, com união para mangueira - Ø 3/4"</t>
  </si>
  <si>
    <t>Torneira de bóia metáilica - Ø 3/4"</t>
  </si>
  <si>
    <t>Tubo de PVC rígido soldável - Ø 25mm</t>
  </si>
  <si>
    <t>Tubo de PVC rígido soldável - Ø 32mm</t>
  </si>
  <si>
    <t>Adaptador de PVC rígido soldável curto, com bolsa e rosca para registro - Ø 25mm x 3/4"</t>
  </si>
  <si>
    <t>Adaptador de PVC rígido soldável curto, com bolsa e rosca para registro - Ø 32 mm x 1"</t>
  </si>
  <si>
    <t>Adaptador de PVC rígido soldável curto, com bolsa e rosca para registro - Ø 50 mm x 1.1/2"</t>
  </si>
  <si>
    <t>Adaptador de PVC rígido soldável com flanges, para caixa de água - Ø 25mm x 3/4"</t>
  </si>
  <si>
    <t>Adaptador de PVC rígido soldável com flanges, para caixa de água - Ø 32mm x 1"</t>
  </si>
  <si>
    <t>Adaptador de PVC rígido soldável com flanges, para caixa de água - Ø 50mm x 1.1/2"</t>
  </si>
  <si>
    <t>Joelho 90º de PVC rígido soldável - Ø 25mm</t>
  </si>
  <si>
    <t>Joelho 90º de PVC rígido soldável - Ø 32mm</t>
  </si>
  <si>
    <t>Joelho 90º de PVC rígido soldável - Ø 50mm</t>
  </si>
  <si>
    <t>Joelho 45º de PVC rígido soldável - Ø 25mm</t>
  </si>
  <si>
    <t>Luva de PVC rígido soldável - Ø 25 mm</t>
  </si>
  <si>
    <t>Tê 90º de PVC rígido soldável - Ø 25 mm</t>
  </si>
  <si>
    <t>União de PVC rígido soldável - Ø 50mm</t>
  </si>
  <si>
    <t>COMPOSIÇÃO DE PREÇO UNITÁRIO</t>
  </si>
  <si>
    <t>CÓDIGO:</t>
  </si>
  <si>
    <t>SERVIÇO:</t>
  </si>
  <si>
    <t>UNIDADE:</t>
  </si>
  <si>
    <t>EQUIPAMENTOS</t>
  </si>
  <si>
    <t>UTILIZAÇÃO</t>
  </si>
  <si>
    <t>CUSTO OPERACIONAL</t>
  </si>
  <si>
    <t>CUSTO HORÁRIO</t>
  </si>
  <si>
    <t>PROD.</t>
  </si>
  <si>
    <t>IMPROD.</t>
  </si>
  <si>
    <t>CUSTO HORÁRIO DE EQUIPAMENTOS - TOTAL</t>
  </si>
  <si>
    <t>MÃO-DE-OBRA SUPLEMENTAR</t>
  </si>
  <si>
    <t>K ou R</t>
  </si>
  <si>
    <t>SALÁRIO BASE</t>
  </si>
  <si>
    <t>FERRAMENTAS MANUAIS</t>
  </si>
  <si>
    <t>CUSTO HORÁRIO DE MÃO-DE-OBRA - TOTAL</t>
  </si>
  <si>
    <t>CUSTO HORÁRIO DE EXECUÇÃO</t>
  </si>
  <si>
    <t>PRODUÇÃO DA EQUIPE</t>
  </si>
  <si>
    <t>CUSTO UNITÁRIO DE EXECUÇÃO</t>
  </si>
  <si>
    <t>MATERIAIS</t>
  </si>
  <si>
    <t>UNIDADE</t>
  </si>
  <si>
    <t>CUSTO UNITÁRIO</t>
  </si>
  <si>
    <t>CONSUMO</t>
  </si>
  <si>
    <t>CUSTO TOTAL</t>
  </si>
  <si>
    <t>CUSTO DE MATERIAIS - TOTAL</t>
  </si>
  <si>
    <t>EQUIPAMENTO DE TRANSPORTE</t>
  </si>
  <si>
    <t>TIPO</t>
  </si>
  <si>
    <t>PISO</t>
  </si>
  <si>
    <t>MATERIAL</t>
  </si>
  <si>
    <t>CUSTO (tkm)</t>
  </si>
  <si>
    <t>DT            (km)</t>
  </si>
  <si>
    <t>CUSTO DE TRANSPORTE - TOTAL</t>
  </si>
  <si>
    <t>CUSTO UNITÁRIO DIRETO - TOTAL</t>
  </si>
  <si>
    <t>LDI</t>
  </si>
  <si>
    <t>PREÇO UNITÁRIO TOTAL</t>
  </si>
  <si>
    <t>OBSERVAÇÕES:</t>
  </si>
  <si>
    <t>RODOVIA:</t>
  </si>
  <si>
    <t>TRECHO:</t>
  </si>
  <si>
    <t>SUBTRECHO:</t>
  </si>
  <si>
    <t>PAV</t>
  </si>
  <si>
    <t>und</t>
  </si>
  <si>
    <t>ENCARREGADO DE TURMA</t>
  </si>
  <si>
    <t>SERVENTE</t>
  </si>
  <si>
    <t>ADITIVO PLASTIMENT BV-40</t>
  </si>
  <si>
    <t>COMP4EC</t>
  </si>
  <si>
    <t>DRENO DE PVC D=100MM</t>
  </si>
  <si>
    <t>TUBO DE PVC D=100MM</t>
  </si>
  <si>
    <t>Escavação mecânica de valas</t>
  </si>
  <si>
    <t>Reaterro mecânico de valas com  apiloamento</t>
  </si>
  <si>
    <t>Caixa de captação dupla com grelha de ferro fundido</t>
  </si>
  <si>
    <t>Caixa de ligação para tubo Ø 0.40m</t>
  </si>
  <si>
    <t>Caixa de ligação para tubo Ø 0.60m</t>
  </si>
  <si>
    <t>Caixa de ligação para tubo Ø 0.80m</t>
  </si>
  <si>
    <t xml:space="preserve">Caixa de ligação para tubo Ø 1.20m </t>
  </si>
  <si>
    <t>Lastro de pedra amarroada</t>
  </si>
  <si>
    <t>Lastro de brita</t>
  </si>
  <si>
    <t xml:space="preserve">PAISAGISMO </t>
  </si>
  <si>
    <t xml:space="preserve">Sistema Viário e Ciclovia do Parque Linear </t>
  </si>
  <si>
    <t/>
  </si>
  <si>
    <t>PEDREIRO</t>
  </si>
  <si>
    <t>NEOPRENE FRETADO - FORNECIMENTO E APLICAÇÃO</t>
  </si>
  <si>
    <t>APARELHO DE APOIO NEOPRENE FRETADO</t>
  </si>
  <si>
    <t>dm3</t>
  </si>
  <si>
    <t>ISOPOR DE 5CM DE ESPESSURA</t>
  </si>
  <si>
    <t>AJUDANTE</t>
  </si>
  <si>
    <t>Válvula esfera em PVC Ø 32mm (1 1/4")</t>
  </si>
  <si>
    <t>Válvula esfera em PVC Ø 50mm (2")</t>
  </si>
  <si>
    <t>Caixa em alvenaria para hidrômetro - padrão SANEPAR</t>
  </si>
  <si>
    <t>Caixa de inspeção e passagem de alvenaria ou concreto, tampa de concreto, conforme projeto</t>
  </si>
  <si>
    <t>DISCRIMINAÇÃO DOS SERVIÇOS</t>
  </si>
  <si>
    <t>%</t>
  </si>
  <si>
    <t>TOTAL R$</t>
  </si>
  <si>
    <t xml:space="preserve"> TOTAL</t>
  </si>
  <si>
    <t>QUADRO-RESUMO</t>
  </si>
  <si>
    <t xml:space="preserve">TRECHO : </t>
  </si>
  <si>
    <t>MUNICÍPIO:</t>
  </si>
  <si>
    <t>CURITIBA (PR)</t>
  </si>
  <si>
    <t>TOTAL 1</t>
  </si>
  <si>
    <t>TOTAL 2</t>
  </si>
  <si>
    <t>TOTAL 3</t>
  </si>
  <si>
    <t>TOTAL 4</t>
  </si>
  <si>
    <t>TOTAL 5</t>
  </si>
  <si>
    <t>TOTAL 6</t>
  </si>
  <si>
    <t>TOTAL 7</t>
  </si>
  <si>
    <t>TOTAL 8</t>
  </si>
  <si>
    <t>TOTAL 9</t>
  </si>
  <si>
    <t>TOTAL 10</t>
  </si>
  <si>
    <t>TOTAL 11</t>
  </si>
  <si>
    <t>total 11</t>
  </si>
  <si>
    <t>total 10</t>
  </si>
  <si>
    <t>total 9</t>
  </si>
  <si>
    <t>total 8</t>
  </si>
  <si>
    <t>total 7</t>
  </si>
  <si>
    <t>total 6</t>
  </si>
  <si>
    <t>total 5</t>
  </si>
  <si>
    <t>total 4</t>
  </si>
  <si>
    <t>Estrutura metálica</t>
  </si>
  <si>
    <t>Estrutura metálica, especificação EMT-EM-10</t>
  </si>
  <si>
    <t>Fechamentos</t>
  </si>
  <si>
    <t>Fornecimento, calandragem e instalação de chapa em aço inox e=1mm</t>
  </si>
  <si>
    <t>Fornecimento e instalação de vidro laminado 8mm (2x4mm), "Reflecta float" cor verde (refletivo com proteção térmica superior a 50%)</t>
  </si>
  <si>
    <t>Fornecimento e instalação de vidro temperado incolor 10mm, inclusive ferragens</t>
  </si>
  <si>
    <t>Fornecimento e instalação de fechamento em chapa metálica perfurada</t>
  </si>
  <si>
    <t>Fornecimento e instalação de guarnição para vidro laminado de fechamento lateral</t>
  </si>
  <si>
    <t>Fornecimento e instalação de guarnição para vidro laminado de fechamento da porta</t>
  </si>
  <si>
    <t>Fornecimento e instalação de guarnição para vidro laminado de fechamento da marquise</t>
  </si>
  <si>
    <t>Forro em laminado melaminico branco fosco e=0,80mm, com isolamento termico em Bidim e placa duratex 2,2mm</t>
  </si>
  <si>
    <t>Pisos</t>
  </si>
  <si>
    <t>100201U</t>
  </si>
  <si>
    <t>Piso cimentício alta resistencia placa 40x40x1,8cm, tipo industrial acabamento anti-derrapante cor natural</t>
  </si>
  <si>
    <t>Piso tatil alerta</t>
  </si>
  <si>
    <t>Equipamentos</t>
  </si>
  <si>
    <t>Mesa do cobrador</t>
  </si>
  <si>
    <t>Cofre do cobrador</t>
  </si>
  <si>
    <t>Separador de fluxos h=0,80cm tratado com 2 demão de base antiferruginosa e 3 demão de esmalte acrílico preto fosco</t>
  </si>
  <si>
    <t>Painel removível em compensado naval de 10mm conforme especificação do projeto</t>
  </si>
  <si>
    <t>Alçapão de 1,70x1,60m em chapa metálica texturizada confome projeto</t>
  </si>
  <si>
    <t>Suporte móvel para telefone das estações tubo padrão Brasil Telecom</t>
  </si>
  <si>
    <t>Sistema de automação das portas composto de KIT Acionador mecânico e placa eletrônica comunicadora</t>
  </si>
  <si>
    <t>Restauração do Pavimento</t>
  </si>
  <si>
    <t>Via Marginal Direita - Sentido Sul/Norte</t>
  </si>
  <si>
    <t>m²</t>
  </si>
  <si>
    <t>m³</t>
  </si>
  <si>
    <t>Via Marginal Esquerda - Sentido Norte/Sul</t>
  </si>
  <si>
    <t>Revestimento com CBUQ - faixa "C"</t>
  </si>
  <si>
    <t>m</t>
  </si>
  <si>
    <t>Arrancamento de meio-fio de concreto</t>
  </si>
  <si>
    <t>Via Local Direita</t>
  </si>
  <si>
    <t xml:space="preserve">Imprimação com CM-30 </t>
  </si>
  <si>
    <t>Via Local Esquerda</t>
  </si>
  <si>
    <t>ud</t>
  </si>
  <si>
    <t>161162U</t>
  </si>
  <si>
    <t>161102U</t>
  </si>
  <si>
    <t>161104U</t>
  </si>
  <si>
    <t>Tubo de PVC rígido para esgoto e águas pluviais, com ponta e bolsa soldável com virola - Ø 50mm</t>
  </si>
  <si>
    <t>Tubo de PVC rígido para esgoto e águas pluviais, com ponta e bolsa soldável com virola - Ø 100mm</t>
  </si>
  <si>
    <t>160201U</t>
  </si>
  <si>
    <t>160208U</t>
  </si>
  <si>
    <t>160240U</t>
  </si>
  <si>
    <t>160241U</t>
  </si>
  <si>
    <t>160229U</t>
  </si>
  <si>
    <t>Caixa para torneira de jardim (25x25x20)cm com tampão articulado de FF</t>
  </si>
  <si>
    <t>161130U</t>
  </si>
  <si>
    <t>161131U</t>
  </si>
  <si>
    <t>Adaptador para válvula de pia e lavatório - Ø 40mm</t>
  </si>
  <si>
    <t>Luva de PVC para esgoto e águas pluviais série reforçada - Ø 150mm</t>
  </si>
  <si>
    <t>160324U</t>
  </si>
  <si>
    <t>160326U</t>
  </si>
  <si>
    <t>160329U</t>
  </si>
  <si>
    <t>160349U</t>
  </si>
  <si>
    <t>160351U</t>
  </si>
  <si>
    <t>160355U</t>
  </si>
  <si>
    <t>170505U</t>
  </si>
  <si>
    <t>170501U</t>
  </si>
  <si>
    <t>161101U</t>
  </si>
  <si>
    <t>161105U</t>
  </si>
  <si>
    <t>161106U</t>
  </si>
  <si>
    <t>161107U</t>
  </si>
  <si>
    <t>161108U</t>
  </si>
  <si>
    <t>161109U</t>
  </si>
  <si>
    <t>161114U</t>
  </si>
  <si>
    <t>161132U</t>
  </si>
  <si>
    <t>161167U</t>
  </si>
  <si>
    <t>160357U</t>
  </si>
  <si>
    <t>Luva de PVC soldável e com rosca soldável - Ø 25mmx3/4"</t>
  </si>
  <si>
    <t>160386U</t>
  </si>
  <si>
    <t xml:space="preserve">LOTE : </t>
  </si>
  <si>
    <t xml:space="preserve">PAVIMENTAÇÃO DE VIAS - LINHA VERDE NORTE </t>
  </si>
  <si>
    <t>TOTAL</t>
  </si>
  <si>
    <t>EMPRESA:</t>
  </si>
  <si>
    <t>CONSÓRIO ENGEMIN-TRAMO-CONSPEL</t>
  </si>
  <si>
    <t xml:space="preserve">Haste de aterramento Copperweld - Ø 5/8" x 3m </t>
  </si>
  <si>
    <t>total 1</t>
  </si>
  <si>
    <t>total 2</t>
  </si>
  <si>
    <t>Sinapi</t>
  </si>
  <si>
    <t>Cotação</t>
  </si>
  <si>
    <t>Equipamentos eletro-eletrônicos</t>
  </si>
  <si>
    <t>Laços detectores de veículos</t>
  </si>
  <si>
    <t>Barreira Tipo" New Jersey" por processo de Extrusão</t>
  </si>
  <si>
    <t>PLANO DE EXECUÇÃO DA OBRA</t>
  </si>
  <si>
    <t xml:space="preserve">Canaleta Exclusiva </t>
  </si>
  <si>
    <t>m3</t>
  </si>
  <si>
    <t>kg</t>
  </si>
  <si>
    <t>040101U</t>
  </si>
  <si>
    <t>040307U</t>
  </si>
  <si>
    <t>QUANT.</t>
  </si>
  <si>
    <t>PREÇO UNITÁRIO</t>
  </si>
  <si>
    <t>pç</t>
  </si>
  <si>
    <t>cj</t>
  </si>
  <si>
    <t>Tubo de PVC rígido para esgoto e águas pluviais, com ponta e bolsa soldável - Ø 40mm</t>
  </si>
  <si>
    <t>Anel de borracha para tubo de esgoto e águas pluviais - Ø 50mm</t>
  </si>
  <si>
    <t>Anel de borracha para tubo de esgoto e águas pluviais - Ø 75mm</t>
  </si>
  <si>
    <t>Anel de borracha para tubo de esgoto e águas pluviais - Ø 100mm</t>
  </si>
  <si>
    <t>Joelho 90º  de PVC rígido para esgoto e águas pluviais - Ø 40mm</t>
  </si>
  <si>
    <t>Joelho 90º  de PVC rígido para esgoto e águas pluviais - Ø 50mm</t>
  </si>
  <si>
    <t>Joelho 45º de PVC rígido para esgoto e águas pluviais - Ø 75mm</t>
  </si>
  <si>
    <t>Luva simples de PVC rígido para esgoto e águas pluviais - Ø 100mm</t>
  </si>
  <si>
    <t>Caixa sifonada de PVC rígido soldável para esgoto e águas pluviais, com grelha quadrada ou redonda de PVC cromado - 100 x 150 x 50mm</t>
  </si>
  <si>
    <t>Curva Curta 90º de PVC rígido para esgoto e águas pluviais - Ø 100 mm</t>
  </si>
  <si>
    <t>Extintor de incêndio de água pressurizada (AP) com capacidade para 10 litros</t>
  </si>
  <si>
    <t>Extintor de incêndios de pó químico (PQ), com capacidade para 4kg</t>
  </si>
  <si>
    <t>DRENAGEM / OAC</t>
  </si>
  <si>
    <t>Placa indicativa EXTINTOR, nas cores amarela e vermelha</t>
  </si>
  <si>
    <t>20,51%</t>
  </si>
  <si>
    <t>Execução demarcação viária c/ termoplástico aplicado por extrusão, na cor branca</t>
  </si>
  <si>
    <t>Execução demarcação viária c/ termoplástico aplicado por extrusão, na cor amarela</t>
  </si>
  <si>
    <t>Execução demarcação viária c/ termoplástico aplicado por aspersão, na cor branca</t>
  </si>
  <si>
    <t>Execução demarcação viária c/ termoplástico aplicado por aspersão, na cor amarela</t>
  </si>
  <si>
    <t>Fornecimento e implantação de tachão refletivo monodirecional</t>
  </si>
  <si>
    <t>Fornecimento e implantação de tachão refletivo bidirecional</t>
  </si>
  <si>
    <t xml:space="preserve">Forn. e impl. de coluna cônica composta h=6,00m, tipo 1 </t>
  </si>
  <si>
    <t>Forn. e impl. de braço cônico projetado 5,00m, tipo 1</t>
  </si>
  <si>
    <t>Muro de Alvenaria de Tijolos 1/2 vez, h=1,80m, revest. chap. e emb. 2 faces</t>
  </si>
  <si>
    <t>Retirada e relocação de cerca de arame</t>
  </si>
  <si>
    <t>Alambrado com Mourão de Concreto e tela fio 14, h=2,20m</t>
  </si>
  <si>
    <t>Carga e transporte de entulhos c/ caçamba</t>
  </si>
  <si>
    <t>Retirada de alambrado c/ mourão de concreto e tela</t>
  </si>
  <si>
    <t>TOTAL2</t>
  </si>
  <si>
    <t>COMP3EC</t>
  </si>
  <si>
    <t>LINHA VERDE</t>
  </si>
  <si>
    <t>Comp1PAV</t>
  </si>
  <si>
    <t>COMP1PAV</t>
  </si>
  <si>
    <t>Escoramento Lateral de Valas</t>
  </si>
  <si>
    <t>ORÇAMENTO</t>
  </si>
  <si>
    <t>Estruturas Metálicas</t>
  </si>
  <si>
    <t>Pedestal metálico para controlador de tráfego</t>
  </si>
  <si>
    <t>Coluna metálica semafórica de 5,20m</t>
  </si>
  <si>
    <t>Coluna metálica semafórica de 4,50m</t>
  </si>
  <si>
    <t>Braço metálico semafórico de 5,00m</t>
  </si>
  <si>
    <t>Braço metálico semafórico de 4,00m</t>
  </si>
  <si>
    <t>Grupos Focais</t>
  </si>
  <si>
    <t>Grupo focal veicular principal</t>
  </si>
  <si>
    <t>Grupo focal veicular auxiliar</t>
  </si>
  <si>
    <t>Grupo focal pedestre</t>
  </si>
  <si>
    <t>Módulos LED</t>
  </si>
  <si>
    <t>Módulo LED, cor vermelha</t>
  </si>
  <si>
    <t>Módulo LED, cor amarela</t>
  </si>
  <si>
    <t>Módulo LED, cor verde</t>
  </si>
  <si>
    <t>Cabos Condutores e para Comunicação de Dados</t>
  </si>
  <si>
    <t>Cabo para comunicação de dados, 50x2p</t>
  </si>
  <si>
    <t>Obra Civil</t>
  </si>
  <si>
    <t>Travessia subterrânea, sob passeio, com eletroduto corrugado flexível com diâmetro de 50mm</t>
  </si>
  <si>
    <t>Caixa de passagem modular, 40x40x40cm, com tampa de concreto</t>
  </si>
  <si>
    <t>SINALIZAÇÃO VIÁRIA</t>
  </si>
  <si>
    <t>Sinalização Horizontal</t>
  </si>
  <si>
    <t>m2</t>
  </si>
  <si>
    <t>Sinalização Vertical</t>
  </si>
  <si>
    <t xml:space="preserve">Suporte p/ duto de admissão, conforme detalhe do projeto </t>
  </si>
  <si>
    <t>Grelha especial, arredondada, de admissão do ar, conforme detalhe do projeto</t>
  </si>
  <si>
    <t>Interligação elétrica do sistema completo</t>
  </si>
  <si>
    <t>Transporte vertical e horizontal</t>
  </si>
  <si>
    <t>Miscelâneas rede de dutos, conexões e suporte</t>
  </si>
  <si>
    <t>Pavimento Flexível</t>
  </si>
  <si>
    <t>ILUMINAÇÃO PÚBLICA</t>
  </si>
  <si>
    <t>Módulo operacional, especificação EMT-E-10</t>
  </si>
  <si>
    <t>Módulo banheiro, especificação EMT-E-09</t>
  </si>
  <si>
    <t>Concha em plástico reforçado, especificação EMT-E-05</t>
  </si>
  <si>
    <t>Cesto com capacidade de 40l, especificação EMT-E-04</t>
  </si>
  <si>
    <t>Fornecimento e implantação de placa de aço 1.00 X 0.50 - formato em cápsula tipo 9A fixada em cano</t>
  </si>
  <si>
    <t>Regul. de piso c/ arg. de cimento e areia 1:4</t>
  </si>
  <si>
    <t>Corrimão metálico diâmetro 3"</t>
  </si>
  <si>
    <t>Espalhamento do material p/ aterro (bota-fora)</t>
  </si>
  <si>
    <t>Transp. Material c/ caminhão basculante DMT 15001 a 20000m</t>
  </si>
  <si>
    <t>Destocamento de árvores Ø 0,20m até 0,40m, inclusive transporte</t>
  </si>
  <si>
    <t>Destocamento de árvores Ø 0,40m até 0,60m, inclusive transporte</t>
  </si>
  <si>
    <t>Fornecimento / plantio de ipê roxo 1,50m</t>
  </si>
  <si>
    <t>Fornecimento / plantio de ipê amarelo 1,50m</t>
  </si>
  <si>
    <t>Fornecimento / plantio de aroeira 1,50m</t>
  </si>
  <si>
    <t>Duto espiralado, c/ pintura anti-corrosiva, de  Ø 600mm</t>
  </si>
  <si>
    <t>Tubo</t>
  </si>
  <si>
    <t>Marginal Direita</t>
  </si>
  <si>
    <t>Marginal Esquerda</t>
  </si>
  <si>
    <t>Fornecimento/assentamento de blocos de concreto tipo "Paver" Cor Natural e=6cm</t>
  </si>
  <si>
    <t>Fornec. e Colocação de tela Tipo Alambrado # 2", fio 12</t>
  </si>
  <si>
    <t>Placa/ Chapa metálica 3/4" 1,50X6,00m (para acessos e cruzamentos)</t>
  </si>
  <si>
    <t>TERRAPLENAGEM</t>
  </si>
  <si>
    <t>PAVIMENTAÇÃO</t>
  </si>
  <si>
    <t>Transporte de Material - DMT até 500m</t>
  </si>
  <si>
    <t>Caixa de captação simples com grelha de ferro fundido - tipo B (H até 2,0m)</t>
  </si>
  <si>
    <t>Caixa de captação simples com grelha de ferro fundido - tipo B (H até 3,0m)</t>
  </si>
  <si>
    <t>Caixa de captação simples com grelha de ferro fundido - tipo B (H até 4,0m)</t>
  </si>
  <si>
    <t>Caixa de captação simples com grelha de ferro fundido - tipo B (H até 5,0m)</t>
  </si>
  <si>
    <t>Caixa de captação dupla com grelha de ferro fundido - tipo B (H até 3,0m)</t>
  </si>
  <si>
    <t>Caixa de captação dupla com grelha de ferro fundido - tipo B (H até 4,0m)</t>
  </si>
  <si>
    <t>un</t>
  </si>
  <si>
    <t>Caixa de passagem de alvenaria ou concreto, tampa de ferro fundido padrão Copel, com a inscrição ELÉTRICA, e com subtampa lacrável, 80 x 80 x 80cm</t>
  </si>
  <si>
    <t>Luminária publica decorativa com dimensões máx.710mm de Øx 520mm de altura. Deverá possuir base em aluminio injetado a alta pressão e tampa de aluminio repuxado. O refrator deverá ser de policarbonato estriado estabilizado contra raios UV. Deverá possuir grau de proteção IP66 para bloco ótico e para compartimentos de equipamentos elétricos. Deverá possuir um refletor superior e um inferior. A pintura deverá ser eletrostática em poliéster em pó com proteção contra raios UV. O acesso a lâmpada e equipamentos deverá ser feito pela parte superior. Deverá acompanhar software com curva fotométrica da luminária, soquete com base RX-7S para lâmpada de 150W. Equipada com Kit elétrico, reator para lâmpada multivapor metálico de 150W/220V/60Hz. D.T. 65 uso interno, alto fator de potência, nucleo aberto com resina dobeckam, com ignitor e capacitor, lâmpada multivapor metálico com tubo de descarga cerâmico potência 150W(tubular, base RX-7S). Poste de aço carbono com dupla seção circular, ambas continuas, decorativo, engastado, com 4m de altura útil, construído em aço carbono1010/1020, perfil tubular, sendo tubo de 4" para o trecho inferior e 3" para o trecho superior, com espessura mínima de 3mm da parede do tubo. Tratamento em galvanização à fogo conforme NBR e pintura eletrostática poli[ester a pó, polimerizada a 210°, dotada de arame guia para passagem de fios.</t>
  </si>
  <si>
    <t>Acessórios para Elétrica</t>
  </si>
  <si>
    <t>total 12</t>
  </si>
  <si>
    <t>TOTAL 12</t>
  </si>
  <si>
    <t>Forn. e impl. de coluna cônica composta h=6,50m, tipo 2</t>
  </si>
  <si>
    <t>Forn. e impl. de braço cônico projetado 6,00m, tipo 2</t>
  </si>
  <si>
    <t>FORNECIMENTO DE AÇO CA 25</t>
  </si>
  <si>
    <t>Comp2PAV</t>
  </si>
  <si>
    <t>COMP2PAV</t>
  </si>
  <si>
    <t>SELANTE DE SILICONE AUTONIVELANTE</t>
  </si>
  <si>
    <t>ISOPOR  E=1 cm</t>
  </si>
  <si>
    <t>Comp3PAV</t>
  </si>
  <si>
    <t>COMP3PAV</t>
  </si>
  <si>
    <t>0%</t>
  </si>
  <si>
    <t xml:space="preserve">SELANTE DE PERFIL ELASTOMÉRICO - TIPO JEENE </t>
  </si>
  <si>
    <t>SINAPI</t>
  </si>
  <si>
    <t>COTAÇÃO</t>
  </si>
  <si>
    <t>Comp1DRE</t>
  </si>
  <si>
    <t>CAIXA DE CAPTAÇÃO C/ ABERTURA LONGITUDINAL NO MEIO-FIO</t>
  </si>
  <si>
    <t>ESCAVAÇÃO MANUAL DE VALAS</t>
  </si>
  <si>
    <t>FORMA DE MADEIRA</t>
  </si>
  <si>
    <t>FERRAGEM CA-50</t>
  </si>
  <si>
    <t>CONCRETO USINADO Fck=15 MPa APLICADO</t>
  </si>
  <si>
    <t>CONCRETO USINADO Fck=18 MPa APLICADO</t>
  </si>
  <si>
    <t>CONCRETO MAGRO</t>
  </si>
  <si>
    <t>REATERRO MANUAL DE VALAS C/ APILOAMENTO</t>
  </si>
  <si>
    <t>COMP1dre</t>
  </si>
  <si>
    <t>Comp2DRE</t>
  </si>
  <si>
    <t>COMP2dre</t>
  </si>
  <si>
    <t>Fornecimento e assentamento de tubo de concreto Ø 0.40m simples PS</t>
  </si>
  <si>
    <t xml:space="preserve">Fornecimento e assentamento de tubo de concreto Ø 0.40m armado PA-1 </t>
  </si>
  <si>
    <t xml:space="preserve">Fornecimento e assentamento de tubo de concreto Ø 0.60m simples PS </t>
  </si>
  <si>
    <t>Fornecimento e assentamento de tubo de concreto Ø 0.60m PA-1</t>
  </si>
  <si>
    <t>Fornecimento e assentamento de tubo de concreto Ø 0.80m PA-1</t>
  </si>
  <si>
    <t>Fornecimento e assentamento de tubo de concreto Ø 0.80m PA-2</t>
  </si>
  <si>
    <t>Fornecimento e assentamento de tubo de concreto Ø 1.00m PA-1</t>
  </si>
  <si>
    <t>Fornecimento e assentamento de tubo de concreto Ø 1.00m PA-2</t>
  </si>
  <si>
    <t>Fornecimento e assentamento de tubo de concreto Ø 1.20m PA-1</t>
  </si>
  <si>
    <t>Fornecimento e assentamento de tubo de concreto Ø 1.50m PA-2</t>
  </si>
  <si>
    <t>Caixa de captação com grelha de ferro fundido</t>
  </si>
  <si>
    <t>Regularização do subleito</t>
  </si>
  <si>
    <t>Junta de expansão p/ encontro c/ meio-fio</t>
  </si>
  <si>
    <t>JUNTA DE EXPANSÃO P/ ENCONTRO C/ MEIO-FIO</t>
  </si>
  <si>
    <t>JUNTA ELÁSTICA PRÉ-MOLDADA P/ PLACA DE CONCRETO ARMADO (SOBRE OAE)</t>
  </si>
  <si>
    <t>Junta elástica pré-moldada p/ placa de concreto armado (sobre OAE)</t>
  </si>
  <si>
    <t>ENCARREGADO DE PAVIMENTAÇÃO</t>
  </si>
  <si>
    <t>PAINEL DE TELA SOLDADA T-283</t>
  </si>
  <si>
    <t>FERRAGEM CA-60 (ESPAÇADOR TRELIÇADO)</t>
  </si>
  <si>
    <t>EQUIP. P/ SOLDA - TRANSF. SOLDA ELETR. 250 AMP</t>
  </si>
  <si>
    <t>SOLDADOR</t>
  </si>
  <si>
    <t>FIBRAS DE POLIPROPILENO</t>
  </si>
  <si>
    <t>RÉGUA VIBRATÓRIA</t>
  </si>
  <si>
    <t>SERRA DE JUNTAS PARA CONCRETO</t>
  </si>
  <si>
    <t>CAMINHÃO CARROCERIA - DE MADEIRA - 15 T</t>
  </si>
  <si>
    <t>CAMINHÃO BASCULANTE - 10 M3 - 15 T</t>
  </si>
  <si>
    <t>CAMINHÃO BETONEIRA - 5 M3</t>
  </si>
  <si>
    <t>GRUPO GERADOR - MANUAL/ELÉTRICO</t>
  </si>
  <si>
    <t>DISCO DIAMANTADO P/ MÁQUINA DE DISCO</t>
  </si>
  <si>
    <t>AREIA</t>
  </si>
  <si>
    <t>BRITA</t>
  </si>
  <si>
    <t>CIMENTO</t>
  </si>
  <si>
    <t>PLACA DE CONCRETO DE CIMENTO PORTLAND (fctmk=4.5MPa), C/ RÉGUA VIBRATÓRIA SIMPLES, C/ PAINÉIS T-283, ESPAÇADOR TRELIÇADO, ADIÇÃO DE FIBRAS DE POLIPROPILENO, INCLUSIVE FORMA.</t>
  </si>
  <si>
    <t>Placa de concreto de cimento portland  (fctmk=4.5MPa), com régua vibratória simples, c/ painéis T-283, espaçador treliçado, adição de fibra de polipropileno, inclusive forma.</t>
  </si>
  <si>
    <t>15,51%</t>
  </si>
  <si>
    <t xml:space="preserve">Cotação </t>
  </si>
  <si>
    <t>CONCRETO USINADO Fck=10 MPa APLICADO</t>
  </si>
  <si>
    <t>CAIXA DE CAPTAÇÃO SIMPLES C/ GRELHA DE FERRO FUNDIDO - TIPO B (H ATÉ 2,0 M)</t>
  </si>
  <si>
    <t>CONCRETO USINADO Fck=15 Mpa APLICADO</t>
  </si>
  <si>
    <t>GRELHA DE FERRO FUNDIDO</t>
  </si>
  <si>
    <t>Comp3DRE</t>
  </si>
  <si>
    <t>COMP3dre</t>
  </si>
  <si>
    <t>CAIXA DE CAPTAÇÃO SIMPLES C/ GRELHA DE FERRO FUNDIDO - TIPO B (H ATÉ 3,0 M)</t>
  </si>
  <si>
    <t>Comp4DRE</t>
  </si>
  <si>
    <t>CAIXA DE CAPTAÇÃO SIMPLES C/ GRELHA DE FERRO FUNDIDO - TIPO B (H ATÉ 4,0 M)</t>
  </si>
  <si>
    <t>COMP4dre</t>
  </si>
  <si>
    <t>Comp5DRE</t>
  </si>
  <si>
    <t>Comp6DRE</t>
  </si>
  <si>
    <t>Comp7DRE</t>
  </si>
  <si>
    <t>Comp8DRE</t>
  </si>
  <si>
    <t>Comp9DRE</t>
  </si>
  <si>
    <t>CAIXA DE CAPTAÇÃO SIMPLES C/ GRELHA DE FERRO FUNDIDO - TIPO B (H ATÉ 5,0 M)</t>
  </si>
  <si>
    <t>COMP5dre</t>
  </si>
  <si>
    <t>COMP6dre</t>
  </si>
  <si>
    <t>COMP7dre</t>
  </si>
  <si>
    <t>CAIXA DE CAPTAÇÃO DUPLA C/ GRELHA DE FERRO FUNDIDO - TIPO B (H ATÉ 3,0 M)</t>
  </si>
  <si>
    <t>COMP8dre</t>
  </si>
  <si>
    <t>CAIXA DE CAPTAÇÃO DUPLA C/ GRELHA DE FERRO FUNDIDO - TIPO B (H ATÉ 4,0 M)</t>
  </si>
  <si>
    <t>COMP9dre</t>
  </si>
  <si>
    <t>Comp10DRE</t>
  </si>
  <si>
    <t>Comp11DRE</t>
  </si>
  <si>
    <t>COMP11dre</t>
  </si>
  <si>
    <t>TAMPÃO DE FERRO FUNDIDO</t>
  </si>
  <si>
    <t>Arrancamento e carga de capa asfáltica c/ escavadeira</t>
  </si>
  <si>
    <t>Cura química de placa de concreto</t>
  </si>
  <si>
    <t xml:space="preserve">Concreto compactado a rolo Fctmk = 1,5 MPa </t>
  </si>
  <si>
    <t>Fornecimento de mudas de árvores (sem plantio)</t>
  </si>
  <si>
    <t>COMP10dre</t>
  </si>
  <si>
    <t>FORNEC/COLOCAÇÃO DE TAMPÃO DE FERRO FUNDIDO</t>
  </si>
  <si>
    <t>Fornecimento e assentamento de tubo de concreto Ø 1.50m PA-1</t>
  </si>
  <si>
    <t xml:space="preserve">Caixa de ligação para tubo Ø 1.50m </t>
  </si>
  <si>
    <t>COMP12dre</t>
  </si>
  <si>
    <t>Comp12DRE</t>
  </si>
  <si>
    <t>Comp13DRE</t>
  </si>
  <si>
    <t>COMP13dre</t>
  </si>
  <si>
    <t>ALVENARIA COM PEDRA DE MÃO ARGAMASSADA</t>
  </si>
  <si>
    <t>COMPACTAÇÃO DE ATERRO C/ SAPO MECÂNICO</t>
  </si>
  <si>
    <t>Arrancamento de lajota de concreto 45x45x5cm</t>
  </si>
  <si>
    <t>Arrancamento de lousas de granito</t>
  </si>
  <si>
    <t>Arrancamento de blocos de concreto tipo paver</t>
  </si>
  <si>
    <t>010241U</t>
  </si>
  <si>
    <t>Demolição muro alv. 1/2 vez c/ baldrame, pilar e cinta</t>
  </si>
  <si>
    <t>Arrancamento manual de paralelepípedos rejuntados c/ argamassa</t>
  </si>
  <si>
    <t>Fibra de polipropileno (p/ adição placa de concreto fctmk=4,5MPa, c/ pavimentadora)</t>
  </si>
  <si>
    <t>Comp1COM</t>
  </si>
  <si>
    <t>RETIRADA E RELOCAÇÃO DE CERCA DE ARAME</t>
  </si>
  <si>
    <t>FERRAGEM CA-50 P/ CONCRETO ARMADO</t>
  </si>
  <si>
    <t>Comp1EME</t>
  </si>
  <si>
    <t>ESTRUTURA METÁLICA, ESPECIFICAÇÃO EMT-EM-10</t>
  </si>
  <si>
    <t>EQUIPAMENTO PARA SOLDA</t>
  </si>
  <si>
    <t xml:space="preserve">SOLDADOR </t>
  </si>
  <si>
    <t>VIGA "I"</t>
  </si>
  <si>
    <t>ELETRODO PARA SOLDA</t>
  </si>
  <si>
    <t>COMP1eme</t>
  </si>
  <si>
    <t>Pintura de ligação com emulsão RR-2C</t>
  </si>
  <si>
    <t>Imprimação com CM-30</t>
  </si>
  <si>
    <t>010214U</t>
  </si>
  <si>
    <t>Rampa de acesso exclusivo para ciclovia (em concreto) conforme projeto</t>
  </si>
  <si>
    <t>Forn. e implantação de placa de aço 0,50x0,50m - advertência tipo 5A fixada em cano</t>
  </si>
  <si>
    <t>br</t>
  </si>
  <si>
    <t>Duto de polietileno de alta densidade, flexível,com fita de advertência "perigo-alta tensão"- Kanalex - Ø 1"</t>
  </si>
  <si>
    <t>idem - Ø 2"</t>
  </si>
  <si>
    <t>idem 1.1/4"</t>
  </si>
  <si>
    <t xml:space="preserve">Luminária fechada, c/ alojamento p/ equipamentos auxiliares (reator, capacitor, ignitor e base para relé), apresentando as seguintes caracterrísticas: corpo em liga de alumínio injetado a alta pressão e alta resistência a impactos mecânicos, acabamento regular sem porosidades com tratamentos anticorrosivo e anti UV. Refletor estampado em chapa de alumínio de alta pureza (99,5%) abrilhantado e selado anodicamente, independente do corpo. Difusor injetado a alta pressão em policarbonato incolor, estabilizado contra raios UV, isento de bolhas e com espessura final uniforme ou em vidro (plano ou curvo) temperado de alta resistência térmica (180º C) e mecânica (6 joules). A abertura e fechamento do difusor deverá ser feita sem auxílio de ferramentas, proporcionando acesso aos equipamentos auxiliares e lâmpada, com juntas de vedação em perfil de silicone. Deverá possibilitar instalação em ponta de braço de 25mm a 60mm. Deverá possuir grau de proteção IP66 para o corpo ótico e IP66 para o compartimento de equipamentos auxiliares, com garantia mínima de cinco anos contra defeitos de fabricação. Deverá possuir também rendimento fotométrico mínimo superior a 75% (para lâmpada tubular com base E-40) para VSO 400W. </t>
  </si>
  <si>
    <t>Fornecimento/instalação de poste metálico 16 m tipo engastado, com janela de inspeção, seção circular.</t>
  </si>
  <si>
    <t>Fornecimento/instalação de braço tronco-cônico para poste simples, c/ 3m de comprimento.</t>
  </si>
  <si>
    <t>Fornecimento/instalação de braço tronco-cônico para poste duplo, c/ 3m de comprimento.</t>
  </si>
  <si>
    <t>Fornecimento/instalação de braço tronco-cônico para poste quádruplo, c/ 2m de comprimento.</t>
  </si>
  <si>
    <t>Terminal para Kanalex -caixa de concreto</t>
  </si>
  <si>
    <t>Anel de fixação Kanalex em caixa metálica</t>
  </si>
  <si>
    <t>Aplicação de elastomero poliuretano pulverizado com poliester em plataforma metálica</t>
  </si>
  <si>
    <t xml:space="preserve">Disjuntor termomagnético bipolar 20A </t>
  </si>
  <si>
    <t>Comp1ILP</t>
  </si>
  <si>
    <t>RETIRADA E TRANSPORTE DE SUPER POSTE,  C/ ILUMINAÇÃO PÚBLICA COMPLETA</t>
  </si>
  <si>
    <t>CAMINHÃO MUNCK</t>
  </si>
  <si>
    <t>ELETRICISTA</t>
  </si>
  <si>
    <t>CAMINHÃO CARROCERIA</t>
  </si>
  <si>
    <t>COML</t>
  </si>
  <si>
    <t>POSTE</t>
  </si>
  <si>
    <t>COMP1ILP</t>
  </si>
  <si>
    <t>Retirada e transporte de super poste, c/ iluminação pública completa</t>
  </si>
  <si>
    <t>Cura úmida de placa de concreto</t>
  </si>
  <si>
    <t>BR-476</t>
  </si>
  <si>
    <t xml:space="preserve">Cadeira para cobrador </t>
  </si>
  <si>
    <t>Demolição do Pavimento</t>
  </si>
  <si>
    <t>R. Bento Ribeiro</t>
  </si>
  <si>
    <t>R. José Fernandes Maldonado</t>
  </si>
  <si>
    <t>R. Francisco Z. Ferreira da Costa</t>
  </si>
  <si>
    <t>R. Fagundes Varela / R.Frederico Galvão</t>
  </si>
  <si>
    <t>Canaleta Exclusiva</t>
  </si>
  <si>
    <t>R. Fagundes Varela</t>
  </si>
  <si>
    <t>R. Frederico Galvão</t>
  </si>
  <si>
    <t>R. Francisco F. da Costa</t>
  </si>
  <si>
    <t>R. José F. Maldonado</t>
  </si>
  <si>
    <t>1.1</t>
  </si>
  <si>
    <t>Forma com chapa compensada resinada 12 mm</t>
  </si>
  <si>
    <t>1.2</t>
  </si>
  <si>
    <t>1.3</t>
  </si>
  <si>
    <t>Escavação e carga em material de 1a. Categoria</t>
  </si>
  <si>
    <t>Transp. material c/ caminhão basculante DMT 501 a 1000 m</t>
  </si>
  <si>
    <t>Concreto usinado Fck=30,00 MPa</t>
  </si>
  <si>
    <t>Andaime metálico fachadeiro</t>
  </si>
  <si>
    <t>Estação Vila Olímpica</t>
  </si>
  <si>
    <t>Estação Fagundes Varela</t>
  </si>
  <si>
    <t>Obelisco/Sanitário</t>
  </si>
  <si>
    <t>Ponte sobre o Rio Bacacheri</t>
  </si>
  <si>
    <t>Alargamento</t>
  </si>
  <si>
    <t>Fresagem do pavimento com varreção e transporte</t>
  </si>
  <si>
    <t>Aplicação película pré-fabricada p/ sinalização horizontal - espessura = 2mm (amarela)</t>
  </si>
  <si>
    <t>Aplicação película pré-fabricada p/ sinalização horizontal - espessura = 2mm (branca)</t>
  </si>
  <si>
    <t>Aplicação película pré-fabricada p/ sinalização horizontal - esp. = 2mm (contraste)</t>
  </si>
  <si>
    <t>Fornecimento e implantação de calota de resina h=3,5cm - d = 15 cm</t>
  </si>
  <si>
    <t>Controlador de tráfego de 8 fases</t>
  </si>
  <si>
    <t>Travessia subterrânea, sob asfalto, com eletroduto corrugado flexível com diâmetro de 75mm</t>
  </si>
  <si>
    <t>Travessia subterrânea, sob passeio, com eletroduto corrugado flexível com diâmetro de 75mm</t>
  </si>
  <si>
    <t>Forn. e impl. placa de aço, oitavada L=30cm - Pare, tipo 4A, fixada em cano</t>
  </si>
  <si>
    <t>Forn. e impl. placa de aço, disco D=50cm - regulamentação, tipo 3A, fixada em cano</t>
  </si>
  <si>
    <t>Forn. e impl. placa de aço, disco D=75cm - regulamentação, tipo 3A, fixada em cano</t>
  </si>
  <si>
    <t>Forn. e impl. placa de aço, losangular L=75cm - advertência, tipo 5A, fixada em cano</t>
  </si>
  <si>
    <t>Forn. e impl. placa de aço, quadrada L=100cm - advertência, tipo 5A, fixada em cano</t>
  </si>
  <si>
    <t>Forn. e impl. placa de aço, capsular L=100x50cm, tipo9A, fixada em cano</t>
  </si>
  <si>
    <t>Forn. e impl. placa de aço, quadrada L=40cm, marcadores de alinhamento, tipo 6A, fixada em cano</t>
  </si>
  <si>
    <t>Forn. e impl. placa de aço retangular L=100x50cm, marcadores de alinhamento, tipo 6A, fixada em cano</t>
  </si>
  <si>
    <t>Forn. e impl. placa de aço retangular L=200x50cm, marcadores de alinhamento, tipo 6A, fixada em cano</t>
  </si>
  <si>
    <t>ESTAÇÃO VILA OLÍMPICA</t>
  </si>
  <si>
    <t>Chapa de aço galvanizado #24</t>
  </si>
  <si>
    <t>vb</t>
  </si>
  <si>
    <t xml:space="preserve">Lâmpada modelo uV-C EARD/C Sibrapa ou modelo similar interno no evaporativo </t>
  </si>
  <si>
    <t>Suporte anti-vibrativo para caixa de exaustão</t>
  </si>
  <si>
    <t>Grelhas pintadas de preto fosco c/ registro VAT-DG 125 x 2125 mm</t>
  </si>
  <si>
    <t>Grelhas pintadas de preto fosco c/ registro VAT-DG  625x225mm</t>
  </si>
  <si>
    <t>Grelhas pintadas de preto fosco c/ registro VAT-DG 1225x225mm</t>
  </si>
  <si>
    <t>Duto de concreto, superfície lisa, para passagem de ar</t>
  </si>
  <si>
    <t>Mão de  obra</t>
  </si>
  <si>
    <t>BDI</t>
  </si>
  <si>
    <t>Subtotal</t>
  </si>
  <si>
    <t>160405U</t>
  </si>
  <si>
    <t>Curva 45 de PVC soldável 32 mm</t>
  </si>
  <si>
    <t>TE 90 Redução PVC soldável 32 x 25mm</t>
  </si>
  <si>
    <t>160361U</t>
  </si>
  <si>
    <t>idem Ø 2"</t>
  </si>
  <si>
    <t>Luminária(230x160x70)mm, com leds, luz branca, temperatura da cor 6000K, frio, intensidade luminosa 600Cd, com ângulo de projeção de 30 a 160°, oferecendo luz harmonicamente distribuida e com intensidade luminosa necessária para aplicação a que se destina, grau de proteção IP65, vida util 50.000h.</t>
  </si>
  <si>
    <t>ESTAÇÃO FAGUNDES  VARELA</t>
  </si>
  <si>
    <t>TE 90 de PVC soldável 25 mm marca Tigre</t>
  </si>
  <si>
    <t>idem - Ø 4"</t>
  </si>
  <si>
    <r>
      <t xml:space="preserve"> </t>
    </r>
    <r>
      <rPr>
        <b/>
        <sz val="8"/>
        <rFont val="Arial"/>
        <family val="2"/>
      </rPr>
      <t>CATRACA DE ACESSO NORMAL</t>
    </r>
    <r>
      <rPr>
        <sz val="8"/>
        <rFont val="Arial"/>
        <family val="2"/>
      </rPr>
      <t xml:space="preserve"> - Estrutura em aço inox AISI 304 (corpo, tampo e braços); cantos arredondados com raio mínimo de 18mm; tampo superior com cantos arredondados; espaço interno para acoplar no-break dataroom com capacidade de 24 h de funcionamento; guarda volumes interno com sistema de fechadura tetra chave; tampo superior bipartido com cantos arredondados basculante longitudinal com sistema de amortecimento independentes, sendo um para manutenção do mecanismo e placa controladora e outro  para manutenção do validador (DATAROOM). Pictograma de operação com led's de alto brilho. As sinalizações deverão ser em um único sentido de tráfego do usuário (entrada); as sinalizações deverão estar localizadas no tampo superior do bloqueio. A sinalização de  passagem será autorizada no formato de uma elipse verde e a de não, no formato de uma elipse vermelha; as sinalizações deverão estar à direita do corredor de passagem, independente do sentido de tráfego do usuário; as sinalizações deverão estar localizadas nas faces frontal e traseira do bloqueio; a sinalização do fluxo será no formato de uma seta verde e quando proibido será de um X vermelho; sistema de travamento automático com abertura sensoriada nas 3 portas, controlado pelo validador; 2 contadores LCD de 7 dígitos com bateria para 10 anos; sistema de travamento com 2 solenóides, que controlam o fluxo de usuários de forma independente; fixado sobre base de aço no piso; índice de proteção 42; mecanismo de abertura provido de desacelerador linear de impactos; mecanismo bicromatizado; composição de duas placas, sendo uma CPU para memória de operação e outra para alteração de estado de funcionamento; painel de controle provido de teclado e display; alarme sonoro; sensor de  presença anti-uso de passagem. </t>
    </r>
  </si>
  <si>
    <r>
      <rPr>
        <b/>
        <sz val="8"/>
        <rFont val="Arial"/>
        <family val="2"/>
      </rPr>
      <t xml:space="preserve"> CATRACA DE ACESSO ESPECIAL</t>
    </r>
    <r>
      <rPr>
        <sz val="8"/>
        <rFont val="Arial"/>
        <family val="2"/>
      </rPr>
      <t>- Estrutura em aço inox AISI 304 (corpo, tampo e braços); cantos arredondados com raio mínimo de 18 mm; tampo superior com cantos arredondados ; espaço interno para acoplar no-break dataroom com capacidade de 24 h de funcionamento; guarda volumes interno com sistema de fechadura tetra chave; tampo superior bipartido com cantos arredondados, basculante longitudinal com sistema de amortecimento independente, sendo um para manutenção do mecanismo e placa controladora e outro para manutenção do validador (DATAROOM). Pictograma de operação com LED'S de alto brilho; as sinalizações deverão ser em um único sentido de tráfego do usuário (entrada); as sinalizações deverão estar localizadas no tampo superior do bloqueio. A sinalização de passagem autorizada será no formato de uma elipse verde e a de não, no formato de uma elipse vermelha. As sinalizações deverão estar à direita do corredor de passagem, independentemente do sentido de tráfego do usuário; as sinalizações deverão estar localizadas nas faces frontal e traseira do bloqueio; a sinalização do fluxo será no formato de uma seta verde e quando proibido será de um X vermelho; sistema de travamento automático com abertura sensoriada nas 3 portas, controlada pelo validador, 2 contadores LCD de 7 dígitos com bateria para 10 anos; sistema de travamento com 2 solenóides, que controlam o fluxo de usuários de forma independente; fixado sobre base de aço no piso; índice de proteção 42; mecanismo de abertura provido de desacelerador linear de impactos; mecanismo bicromatizado; composição de duas placas, sendo uma CPU para memória e outra para alteração de estado de funcionamento; painel de controle provido de teclado e display; alarme sonoro.</t>
    </r>
  </si>
  <si>
    <t>010242U</t>
  </si>
  <si>
    <t>040304U</t>
  </si>
  <si>
    <t>Concreto usinado Fck = 20 Mpa</t>
  </si>
  <si>
    <t>040201U</t>
  </si>
  <si>
    <t>Ferragem CA 50/60 para concreto armado</t>
  </si>
  <si>
    <t>Reaterro manual de valas com apiloamento</t>
  </si>
  <si>
    <t>Escavação manual de valas (p/ fundação)</t>
  </si>
  <si>
    <t>030205U</t>
  </si>
  <si>
    <t>Concreto magro c/ betoneira</t>
  </si>
  <si>
    <t>040306U</t>
  </si>
  <si>
    <t>Concreto  usinado Fck = 25 Mpa</t>
  </si>
  <si>
    <t>Concreto usinado Fck = 10 Mpa aplicado</t>
  </si>
  <si>
    <t>Forma de madeira</t>
  </si>
  <si>
    <t>010222U</t>
  </si>
  <si>
    <t xml:space="preserve">Demolição de  concreto armado c/ compressor </t>
  </si>
  <si>
    <t>Dreno de PVC D = 100mm</t>
  </si>
  <si>
    <t>GRUPO GERADOR MANUAL/ELÉTRICO</t>
  </si>
  <si>
    <t>VIGA H CS 300</t>
  </si>
  <si>
    <t>TINTA P/ PRÉ-MARCAÇÃO</t>
  </si>
  <si>
    <t>ACETILENO</t>
  </si>
  <si>
    <t>ELETRODO P/ SOLDA</t>
  </si>
  <si>
    <t>ll</t>
  </si>
  <si>
    <t>total 3</t>
  </si>
  <si>
    <t>AR CONDICIONADO - ESTAÇÃO VILA OLÍMPICA</t>
  </si>
  <si>
    <t>INSTALAÇÕES HIDRO-SANITÁRIAS - ESTAÇÃO VILA OLÍMPICA</t>
  </si>
  <si>
    <t>AR CONDICIONADO - ESTAÇÃO FAGUNDES VARELA</t>
  </si>
  <si>
    <t>INST. HIDRO-SANITÁRIAS - ESTAÇÃO FAGUNDES VARELA</t>
  </si>
  <si>
    <t xml:space="preserve">Serviços de conservação durante a execução das obras </t>
  </si>
  <si>
    <t>Fornecimento e assentamento de tubo de concreto Ø 2,00m PA-2</t>
  </si>
  <si>
    <t>Fornecimento e assentamento de tubo de concreto Ø 2,20m PA-2</t>
  </si>
  <si>
    <t xml:space="preserve">Caixa de ligação para tubo Ø 2,00m </t>
  </si>
  <si>
    <t xml:space="preserve">Caixa de ligação para tubo Ø 2,20m </t>
  </si>
  <si>
    <t xml:space="preserve">Poço de queda com visita - tubo Ø 2,00m - altura até 0.50m </t>
  </si>
  <si>
    <t>Poço de queda com visita - tubo Ø 2,00m - altura de 0.50m até 1.00m</t>
  </si>
  <si>
    <t>4A</t>
  </si>
  <si>
    <t>total 4A</t>
  </si>
  <si>
    <t>4B</t>
  </si>
  <si>
    <t>Caixa de ligação para tubo Ø 1,00m</t>
  </si>
  <si>
    <t>Aba de concreto para tubo de concreto d= 2,20m</t>
  </si>
  <si>
    <t>total 4b</t>
  </si>
  <si>
    <t>4C</t>
  </si>
  <si>
    <t>Aba de concreto para tubo de concreto d= 0,40m</t>
  </si>
  <si>
    <t>Aba de concreto para tubo de concreto d= 0,80m</t>
  </si>
  <si>
    <t>total 4c</t>
  </si>
  <si>
    <t>4D</t>
  </si>
  <si>
    <t>total 4d</t>
  </si>
  <si>
    <t>Via Lateral Direita</t>
  </si>
  <si>
    <t>4E</t>
  </si>
  <si>
    <t>Via Lateral Esquerda</t>
  </si>
  <si>
    <t>total 4e</t>
  </si>
  <si>
    <t xml:space="preserve">Caixa de ligação para tubo Ø 1.00m </t>
  </si>
  <si>
    <t>Caixa de captação c/ abertura longitudinal no meiofio</t>
  </si>
  <si>
    <r>
      <t xml:space="preserve">DISSIPADOR DE ENERGIA NA SAÍDA DE BOCAS P/ </t>
    </r>
    <r>
      <rPr>
        <b/>
        <sz val="13"/>
        <rFont val="Calibri"/>
        <family val="2"/>
      </rPr>
      <t>Ø 2,20 M</t>
    </r>
  </si>
  <si>
    <r>
      <t xml:space="preserve">CAIXA DE QUEDA - TUBO </t>
    </r>
    <r>
      <rPr>
        <b/>
        <sz val="13"/>
        <rFont val="Calibri"/>
        <family val="2"/>
      </rPr>
      <t xml:space="preserve">Ø 2,20 M - ALTURA ATÉ 0,50 M </t>
    </r>
  </si>
  <si>
    <r>
      <t xml:space="preserve">POÇO DE QUEDA C/ VISITA - TUBO </t>
    </r>
    <r>
      <rPr>
        <b/>
        <sz val="13"/>
        <rFont val="Calibri"/>
        <family val="2"/>
      </rPr>
      <t xml:space="preserve">Ø 2,00 M - ALTURA ATÉ 0,50 M </t>
    </r>
  </si>
  <si>
    <r>
      <t xml:space="preserve">POÇO DE QUEDA C/ VISITA - TUBO </t>
    </r>
    <r>
      <rPr>
        <b/>
        <sz val="13"/>
        <rFont val="Calibri"/>
        <family val="2"/>
      </rPr>
      <t xml:space="preserve">Ø 2,00 M - ALTURA DE 0,50M ATÉ 1,00 M </t>
    </r>
  </si>
  <si>
    <t>Galeria celular de concreto (BSCC 4,0 x 3,0, c/ h aterro 1,0 &lt; h &lt; 2,5</t>
  </si>
  <si>
    <t>Galeria celular de concreto (BSCC 4,0 x 3,0, c/ h aterro 2,5 &lt; h &lt; 5,0</t>
  </si>
  <si>
    <t>Galeria celular de concreto (BSCC 5,0 x 3,0, c/ h aterro 1,0 &lt; h &lt; 2,5</t>
  </si>
  <si>
    <t>Boca p/ galeria celular de concreto (BSCC 4,0 x 3,0), esconsidade 0</t>
  </si>
  <si>
    <t>Boca p/ galeria celular de concreto (BSCC 5,0 x 3,0), esconsidade 0</t>
  </si>
  <si>
    <t>BOCA P/ GALERIA CELULAR DE CONCRETO (BSCC 4,0 X 3,0M) ESCONSIDADE 0</t>
  </si>
  <si>
    <t>CAMINHÃO CARROCERIA - MADEIRA - 15 T</t>
  </si>
  <si>
    <t>CAMINHÃO BSCULANTE - 10 M3</t>
  </si>
  <si>
    <t>ARGAMASSA DE CIMENTO E AREIA 1:3</t>
  </si>
  <si>
    <t>.</t>
  </si>
  <si>
    <t>BOCA P/ GALERIA CELULAR DE CONCRETO (BSCC 5,0 X 3,0M) ESCONSIDADE 0</t>
  </si>
  <si>
    <t>ESTRUTURA METÁLICA</t>
  </si>
  <si>
    <t>TOTAL 13</t>
  </si>
  <si>
    <t>Passarela Vila Olímpica</t>
  </si>
  <si>
    <t>Ferragem CA 50 para concreto armado</t>
  </si>
  <si>
    <t>Concreto usinado Fck = 30 MPa</t>
  </si>
  <si>
    <t>FORN. E CRAVAÇÃO ESTACA METÁLICA PERFIL "H" - 62,4 kg/m</t>
  </si>
  <si>
    <t>FORN. E CRAVAÇÃO ESTACA METÁLICA PERFIL "H" - 95,0 kg/m</t>
  </si>
  <si>
    <t>Forn. e cravação estaca metálica perfil “H” - 62,4 kg/m</t>
  </si>
  <si>
    <t>Rua Bento Ribeiro</t>
  </si>
  <si>
    <t>Forn. e cravação estaca metálica perfil “H” - 95,0 kg/m</t>
  </si>
  <si>
    <t>1.3.1</t>
  </si>
  <si>
    <t>1.3.2</t>
  </si>
  <si>
    <t>1.3.3</t>
  </si>
  <si>
    <t>Concreto  usinado Fck = 25 MPa</t>
  </si>
  <si>
    <t>Concreto usinado Fck = 10 MPa aplicado</t>
  </si>
  <si>
    <t>Concreto usinado Fck = 20 MPa</t>
  </si>
  <si>
    <t>Enchimento EPS</t>
  </si>
  <si>
    <t>Comp2EME</t>
  </si>
  <si>
    <t>PERFIL LAMINADO</t>
  </si>
  <si>
    <t>COMP2eme</t>
  </si>
  <si>
    <t>Comp3EME</t>
  </si>
  <si>
    <t>COMP3eme</t>
  </si>
  <si>
    <t>PERFIL DOBRADO</t>
  </si>
  <si>
    <t>Comp4EME</t>
  </si>
  <si>
    <t>COMP4eme</t>
  </si>
  <si>
    <t>TUBO REDONDO</t>
  </si>
  <si>
    <t>Comp5EME</t>
  </si>
  <si>
    <t>TUBO RETANGULAR</t>
  </si>
  <si>
    <t>COMP5eme</t>
  </si>
  <si>
    <t>Comp6EME</t>
  </si>
  <si>
    <t>FERRO CHATO</t>
  </si>
  <si>
    <t>COMP6eme</t>
  </si>
  <si>
    <t>Comp7EME</t>
  </si>
  <si>
    <t>FERRO REDONDO</t>
  </si>
  <si>
    <t>COMP7eme</t>
  </si>
  <si>
    <t>Comp8EME</t>
  </si>
  <si>
    <t>COMP8eme</t>
  </si>
  <si>
    <t>Comp9EME</t>
  </si>
  <si>
    <t>COMP9eme</t>
  </si>
  <si>
    <t>TELA DE FIO No. 12 - MALHA 2" X 2"</t>
  </si>
  <si>
    <t>ARAME GALVANIZADO No. 16</t>
  </si>
  <si>
    <t>TELA (MALHA 50 X 50mm), FIO 12, GALVANIZADA</t>
  </si>
  <si>
    <t>Tela (malha 50x50 mm), fio 12, galvanizada</t>
  </si>
  <si>
    <t>CHAPA DE AÇO</t>
  </si>
  <si>
    <t>O R Ç A M E N T O  -  LOTE 3</t>
  </si>
  <si>
    <t>ESTAÇÕES: VILA OLÍMPICA E FAGUNDES VARELA</t>
  </si>
  <si>
    <t>EST. 767 - 890</t>
  </si>
  <si>
    <t>ESTRUTURA CONCRETO</t>
  </si>
  <si>
    <t>Comp2EC</t>
  </si>
  <si>
    <t>Comp1EC</t>
  </si>
  <si>
    <t>Comp4EC</t>
  </si>
  <si>
    <t>Comp3EC</t>
  </si>
  <si>
    <t>comp2ec</t>
  </si>
  <si>
    <t>ESTRUTURA METÁLICA - PERFIL LAMINADO ASTM-A572</t>
  </si>
  <si>
    <t xml:space="preserve">Perfil laminado  ASTM-A572 </t>
  </si>
  <si>
    <t>Comp10EME</t>
  </si>
  <si>
    <t>Comp11EME</t>
  </si>
  <si>
    <t>COMP11eme</t>
  </si>
  <si>
    <t>Chapa aço patinável</t>
  </si>
  <si>
    <t>ESTRUTURA METÁLICA - CHAPA DE AÇO PATINÁVEL</t>
  </si>
  <si>
    <t>COMP10eme</t>
  </si>
  <si>
    <t xml:space="preserve">ESTRUTURA METÁLICA - CHAPA DE AÇO ASTM-A36 </t>
  </si>
  <si>
    <t>Chapa ASTM-A36</t>
  </si>
  <si>
    <t>Ferro chato ASTM-A36</t>
  </si>
  <si>
    <t>Ferro redondo ASTM-A36</t>
  </si>
  <si>
    <t>ESTRUTURA METÁLICA - FERRO CHATO ASTM-A36</t>
  </si>
  <si>
    <t>ESTRUTURA METÁLICA - FERRO REDONDO ASTM-A36</t>
  </si>
  <si>
    <t>Tubo retangular ASTM-A36</t>
  </si>
  <si>
    <t>Tubo redondo ASTM-A36</t>
  </si>
  <si>
    <t>ESTRUTURA METÁLICA - TUBO RETANGULAR ASTM-A36</t>
  </si>
  <si>
    <t>ESTRUTURA METÁLICA - TUBO REDONDO ASTM-A36</t>
  </si>
  <si>
    <t>Perfil dobrado US SAE 1010</t>
  </si>
  <si>
    <t>ESTRUTURA METÁLICA - PERFIL DOBRADO US SAE 1010</t>
  </si>
  <si>
    <t>Cantoneira ASTM-A36</t>
  </si>
  <si>
    <t>ESTRUTURA METÁLICA - CANTONEIRA ASTM A36</t>
  </si>
  <si>
    <t>CANTONEIRA</t>
  </si>
  <si>
    <t>LOTE 3</t>
  </si>
  <si>
    <t>GAP-1</t>
  </si>
  <si>
    <t>GAP-3</t>
  </si>
  <si>
    <t>GAP-124</t>
  </si>
  <si>
    <t>TER-1</t>
  </si>
  <si>
    <t>TER-8</t>
  </si>
  <si>
    <t>GAP-131</t>
  </si>
  <si>
    <t>TER-5</t>
  </si>
  <si>
    <t>TER-12</t>
  </si>
  <si>
    <t>TER-13</t>
  </si>
  <si>
    <t>PAV-40</t>
  </si>
  <si>
    <t>PAV-62</t>
  </si>
  <si>
    <t>PAV-16</t>
  </si>
  <si>
    <t>PAV-15</t>
  </si>
  <si>
    <t>PAV-57</t>
  </si>
  <si>
    <t>TER-14</t>
  </si>
  <si>
    <t>PAV-1</t>
  </si>
  <si>
    <t>PAV-3</t>
  </si>
  <si>
    <t>PAV-4</t>
  </si>
  <si>
    <t>PAV-44</t>
  </si>
  <si>
    <t>PAV-61</t>
  </si>
  <si>
    <t>PAV-28</t>
  </si>
  <si>
    <t>PAV-51</t>
  </si>
  <si>
    <t>PAV-50</t>
  </si>
  <si>
    <t>PAV-55</t>
  </si>
  <si>
    <t>PAV-56</t>
  </si>
  <si>
    <t>GAP-2</t>
  </si>
  <si>
    <t>GAP-4</t>
  </si>
  <si>
    <t>GAP-9</t>
  </si>
  <si>
    <t>GAP-34</t>
  </si>
  <si>
    <t>GAP-35</t>
  </si>
  <si>
    <t>GAP-77</t>
  </si>
  <si>
    <t>GAP-78</t>
  </si>
  <si>
    <t>GAP-110</t>
  </si>
  <si>
    <t>GAP-18</t>
  </si>
  <si>
    <t>GAP-19</t>
  </si>
  <si>
    <t>GAP-23</t>
  </si>
  <si>
    <t>GAP-24</t>
  </si>
  <si>
    <t>GAP-25</t>
  </si>
  <si>
    <t>GAP-27</t>
  </si>
  <si>
    <t>GAP-29</t>
  </si>
  <si>
    <t>GAP-31</t>
  </si>
  <si>
    <t>GAP-32</t>
  </si>
  <si>
    <t>GAP-63</t>
  </si>
  <si>
    <t>GAP-64</t>
  </si>
  <si>
    <t>GAP-69</t>
  </si>
  <si>
    <t>GAP-71</t>
  </si>
  <si>
    <t>GAP-72</t>
  </si>
  <si>
    <t>GAP-73</t>
  </si>
  <si>
    <t>GAP-74</t>
  </si>
  <si>
    <t>GAP-75</t>
  </si>
  <si>
    <t>GAP-103</t>
  </si>
  <si>
    <t>GAP-104</t>
  </si>
  <si>
    <t>GAP-107</t>
  </si>
  <si>
    <t>GAP-26</t>
  </si>
  <si>
    <t>GAP-28</t>
  </si>
  <si>
    <t>PAI-37</t>
  </si>
  <si>
    <t>PAI-38</t>
  </si>
  <si>
    <t>PAV-43</t>
  </si>
  <si>
    <t>PAI-8</t>
  </si>
  <si>
    <t>PAI-2</t>
  </si>
  <si>
    <t>GAP-133</t>
  </si>
  <si>
    <t>PAI-16</t>
  </si>
  <si>
    <t>PAI-18</t>
  </si>
  <si>
    <t>PAV-27</t>
  </si>
  <si>
    <t>PAI-22</t>
  </si>
  <si>
    <t>Comp1HID</t>
  </si>
  <si>
    <t>Comp2HID</t>
  </si>
  <si>
    <t>Comp3HID</t>
  </si>
  <si>
    <t>Sinapi/PR</t>
  </si>
  <si>
    <t>CAIXA DE INSPEÇÃO E PASSAGEM</t>
  </si>
  <si>
    <t>GAP-125</t>
  </si>
  <si>
    <t>060103U</t>
  </si>
  <si>
    <t>ALV. DE ELEVAÇÃO TIJOLOS 6 F, E=15CM S/ REVESTIMENTO</t>
  </si>
  <si>
    <t>PAV-2</t>
  </si>
  <si>
    <t>EXECUÇÃO DE BASE DE SAIBRO COMPACTADO</t>
  </si>
  <si>
    <t>COMP1HID</t>
  </si>
  <si>
    <t>CAIXA EM ALVENARIA P/ HIDRÔMETRO</t>
  </si>
  <si>
    <t>TAMPA DE FERRO FUNDIDO</t>
  </si>
  <si>
    <t>COMP2HID</t>
  </si>
  <si>
    <t>CAIXA P/ TORNEIRA DE JARDIM (25X25X20CM)</t>
  </si>
  <si>
    <t>COMP3HID</t>
  </si>
  <si>
    <t>CUSTO HORÁRIO DE MÃO-DE-OBRA - FONTE: DNIT</t>
  </si>
  <si>
    <t>PROFISSÃO</t>
  </si>
  <si>
    <t>P.SALARIAL</t>
  </si>
  <si>
    <t>SAL/HORA</t>
  </si>
  <si>
    <t>MV</t>
  </si>
  <si>
    <t>MOTORISTA DE VEÍCULO LEVE</t>
  </si>
  <si>
    <t>MC</t>
  </si>
  <si>
    <t>MOTORISTA DE CAMINHÃO</t>
  </si>
  <si>
    <t>OL</t>
  </si>
  <si>
    <t>OPERADOR DE EQUIP. LEVE 2</t>
  </si>
  <si>
    <t>OE</t>
  </si>
  <si>
    <t>OPERADOR DE EQUIP. ESPECIAL</t>
  </si>
  <si>
    <t>PR</t>
  </si>
  <si>
    <t>PRÉ-MARCADOR</t>
  </si>
  <si>
    <t>ET</t>
  </si>
  <si>
    <t>EP</t>
  </si>
  <si>
    <t>EB</t>
  </si>
  <si>
    <t>ENCARREGADO DE BRITAGEM</t>
  </si>
  <si>
    <t>BL</t>
  </si>
  <si>
    <t>BLASTER</t>
  </si>
  <si>
    <t>EL</t>
  </si>
  <si>
    <t>MO</t>
  </si>
  <si>
    <t>MONTADOR</t>
  </si>
  <si>
    <t>CA</t>
  </si>
  <si>
    <t>CARPINTEIRO</t>
  </si>
  <si>
    <t>PE</t>
  </si>
  <si>
    <t>AR</t>
  </si>
  <si>
    <t>ARMADOR</t>
  </si>
  <si>
    <t>PI</t>
  </si>
  <si>
    <t>PINTOR</t>
  </si>
  <si>
    <t>SO</t>
  </si>
  <si>
    <t>SE</t>
  </si>
  <si>
    <t>SERRALHEIRO</t>
  </si>
  <si>
    <t>SV</t>
  </si>
  <si>
    <t>ZE</t>
  </si>
  <si>
    <t>ZELADORA</t>
  </si>
  <si>
    <t>AJ</t>
  </si>
  <si>
    <t>PT</t>
  </si>
  <si>
    <t>PERFURADOR DE TUBULÃO</t>
  </si>
  <si>
    <t>VI</t>
  </si>
  <si>
    <t>VIGIA</t>
  </si>
  <si>
    <t>T0</t>
  </si>
  <si>
    <t>INSPETOR DE CAMPO</t>
  </si>
  <si>
    <t>T2</t>
  </si>
  <si>
    <t>TOPÓGRAFO</t>
  </si>
  <si>
    <t>T4</t>
  </si>
  <si>
    <t>FISCAL DE CAMPO</t>
  </si>
  <si>
    <t>T5</t>
  </si>
  <si>
    <t>DESENHISTA/OPERADOR DE COMPUTADOR</t>
  </si>
  <si>
    <t>T6</t>
  </si>
  <si>
    <t>AUXILIAR DE TOPÓGRAFO</t>
  </si>
  <si>
    <t>P1</t>
  </si>
  <si>
    <t>ENGENHEIRO SÊNIOR</t>
  </si>
  <si>
    <t>P2</t>
  </si>
  <si>
    <t>ENGENHEIRO PLENO</t>
  </si>
  <si>
    <t>A0</t>
  </si>
  <si>
    <t>CHEFE DE ESCRITÓRIO</t>
  </si>
  <si>
    <t>A1</t>
  </si>
  <si>
    <t>SECRETÁRIA</t>
  </si>
  <si>
    <t>A2</t>
  </si>
  <si>
    <t>MOTORISTA</t>
  </si>
  <si>
    <t xml:space="preserve">CHEFE DE ESCRITÓRIO </t>
  </si>
  <si>
    <t>PARÂMETROS</t>
  </si>
  <si>
    <t>ENCARGOS SOCIAIS</t>
  </si>
  <si>
    <t>HORAS NO MÊS</t>
  </si>
  <si>
    <t>BATE-ESTACAS DE GRAVIDADE - 3500 A 4000KG</t>
  </si>
  <si>
    <t>GAP-134</t>
  </si>
  <si>
    <t>GAP-5</t>
  </si>
  <si>
    <t>GAP-67</t>
  </si>
  <si>
    <t>GAP-66</t>
  </si>
  <si>
    <t>010205U</t>
  </si>
  <si>
    <t>200103U</t>
  </si>
  <si>
    <t>200107U</t>
  </si>
  <si>
    <t>200116U</t>
  </si>
  <si>
    <t>ABAS PARA TUBO DE CONCRETO D=0,40M</t>
  </si>
  <si>
    <t>CAMINHÃO CARROCERIA - DE MADEIRA 15 T</t>
  </si>
  <si>
    <t>CAMINHÃO BASCULANTE - 10 M3 - 15T</t>
  </si>
  <si>
    <t>ABAS PARA TUBO DE CONCRETO D=0,80M</t>
  </si>
  <si>
    <t>Comp14DRE</t>
  </si>
  <si>
    <t>COMP14dre</t>
  </si>
  <si>
    <t>Comp15DRE</t>
  </si>
  <si>
    <t>COMP15dre</t>
  </si>
  <si>
    <t>Comp16DRE</t>
  </si>
  <si>
    <t>ABAS PARA TUBO DE CONCRETO D=2,20M</t>
  </si>
  <si>
    <t>COMP16dre</t>
  </si>
  <si>
    <t>ADMINISTRAÇÃO LOCAL</t>
  </si>
  <si>
    <t>Mão-de-Obra</t>
  </si>
  <si>
    <t>h</t>
  </si>
  <si>
    <t>Inspetor de Campo</t>
  </si>
  <si>
    <t>Chefe de Escritório</t>
  </si>
  <si>
    <t>Laboratorista</t>
  </si>
  <si>
    <t>Topógrafo</t>
  </si>
  <si>
    <t>Fiscal de Campo</t>
  </si>
  <si>
    <t xml:space="preserve">Calculista/desenhista/Operador de Computador </t>
  </si>
  <si>
    <t>Secretária</t>
  </si>
  <si>
    <t>SUB-TOTAL</t>
  </si>
  <si>
    <t>Despesas Gerais</t>
  </si>
  <si>
    <t>Material administrativo</t>
  </si>
  <si>
    <t>mês</t>
  </si>
  <si>
    <t xml:space="preserve">Ensaios </t>
  </si>
  <si>
    <t>INSTALAÇÃO, OPERAÇÃO E MANUTENÇÃO DO CANTEIRO</t>
  </si>
  <si>
    <t>Instalação do Canteiro</t>
  </si>
  <si>
    <t>Escritório</t>
  </si>
  <si>
    <t>Topografia</t>
  </si>
  <si>
    <t>Laboratório de betume</t>
  </si>
  <si>
    <t>Laboratório de concreto</t>
  </si>
  <si>
    <t>Operação/Manutenção do Canteiro</t>
  </si>
  <si>
    <t>a) Mão-de-Obra</t>
  </si>
  <si>
    <t>Eletricista</t>
  </si>
  <si>
    <t>Pedreiro</t>
  </si>
  <si>
    <t>Carpinteiro</t>
  </si>
  <si>
    <t>Servente</t>
  </si>
  <si>
    <t>Soldador</t>
  </si>
  <si>
    <t>Montador</t>
  </si>
  <si>
    <t>Ligação Energia Elétrica</t>
  </si>
  <si>
    <t>Consumo de Água, Energia e Telefone fixo/móvel</t>
  </si>
  <si>
    <t>Placas de Obra</t>
  </si>
  <si>
    <t>Andaimes</t>
  </si>
  <si>
    <t>Sinalização de Obras  (mão-de-obra e material)</t>
  </si>
  <si>
    <t>c) Materiais</t>
  </si>
  <si>
    <t>Material Limpeza/Manutenção Canteiro</t>
  </si>
  <si>
    <t>d) Equipamentos de Apoio</t>
  </si>
  <si>
    <t>Caminhão Tanque - 6000 l</t>
  </si>
  <si>
    <t>TOTAL 14</t>
  </si>
  <si>
    <t>total 15</t>
  </si>
  <si>
    <t>TOTAL 15</t>
  </si>
  <si>
    <t>Motorista (2)</t>
  </si>
  <si>
    <t>Sedan  71 a 115 CV - 2 veiculos</t>
  </si>
  <si>
    <t>Caminhonete até 2 t - 2 veiculos</t>
  </si>
  <si>
    <t>Vigia (2)</t>
  </si>
  <si>
    <t>3  -  ESTAÇÃO VILA OLÍMPICA/ESTAÇÃO FAGUNDES VARELA</t>
  </si>
  <si>
    <t xml:space="preserve"> </t>
  </si>
  <si>
    <t>Mobilização/Desmobilização de veículos e equipamentos</t>
  </si>
  <si>
    <t>Almoxarifado - 0,5</t>
  </si>
  <si>
    <t>Depósito - 0,5</t>
  </si>
  <si>
    <t>Laboratório - 0,6</t>
  </si>
  <si>
    <t>Carpintaria e armação - 0,5</t>
  </si>
  <si>
    <t>Vestiário/sanitários - 0,5</t>
  </si>
  <si>
    <t>Cozinha/refeitório - 0,6</t>
  </si>
  <si>
    <t xml:space="preserve">Engenheiro Senior </t>
  </si>
  <si>
    <t>COMP5EC</t>
  </si>
  <si>
    <t>BOMBA HIDR. ALTA PRESSÃO</t>
  </si>
  <si>
    <t>BOMBA ELETR. INJEÇÃO DE NATA</t>
  </si>
  <si>
    <t>MACACO PARA PROTENSÃO</t>
  </si>
  <si>
    <t>CIMENTO PORTLAND CP II-32</t>
  </si>
  <si>
    <t>PRANCHÃO 7,5 x 30,0CM</t>
  </si>
  <si>
    <t>INTERPLAST N</t>
  </si>
  <si>
    <t>COMP6EC</t>
  </si>
  <si>
    <r>
      <t xml:space="preserve">FORNECIMENTO E PROTENSÃO AÇO CP-190 RB  </t>
    </r>
    <r>
      <rPr>
        <b/>
        <sz val="13"/>
        <rFont val="Calibri"/>
        <family val="2"/>
      </rPr>
      <t>Ø</t>
    </r>
    <r>
      <rPr>
        <b/>
        <sz val="7.8"/>
        <rFont val="Century Gothic"/>
        <family val="2"/>
      </rPr>
      <t xml:space="preserve"> </t>
    </r>
    <r>
      <rPr>
        <b/>
        <sz val="13"/>
        <rFont val="Century Gothic"/>
        <family val="2"/>
      </rPr>
      <t>15,2MM</t>
    </r>
  </si>
  <si>
    <t>T501</t>
  </si>
  <si>
    <t>ENCARREGADO DE ETURMA</t>
  </si>
  <si>
    <t>T605</t>
  </si>
  <si>
    <t>T702</t>
  </si>
  <si>
    <t>CORDOALHA CP 190 RB D=15,2MM</t>
  </si>
  <si>
    <t xml:space="preserve">BAINHA METÁLICA D=85MM </t>
  </si>
  <si>
    <t>TUBO PLÁSTICO PARA PURGADORES</t>
  </si>
  <si>
    <r>
      <t>ARAME RECOZIDO N</t>
    </r>
    <r>
      <rPr>
        <sz val="12"/>
        <rFont val="Arial"/>
        <family val="2"/>
      </rPr>
      <t>º 18</t>
    </r>
  </si>
  <si>
    <t xml:space="preserve">ANCORAGEM P/ PROTENSÃO 3 CORD D=15,2MM </t>
  </si>
  <si>
    <t>ANCORAGEM P/ CABO D=15,2mm</t>
  </si>
  <si>
    <t>Comp6EC</t>
  </si>
  <si>
    <t>Comp5EC</t>
  </si>
  <si>
    <t>Ancoragem p/ protensão 3 D=15,2mm</t>
  </si>
  <si>
    <t xml:space="preserve">Fornecimento e protensão aço CP-190 RB D=15,2mm  </t>
  </si>
  <si>
    <t>Revestimento asfáltico colorido na cor vermelha</t>
  </si>
  <si>
    <t>COMP1COM</t>
  </si>
  <si>
    <t>Solução 1</t>
  </si>
  <si>
    <t>Solução 2</t>
  </si>
  <si>
    <t>Revestimento com CBUQ - faixa "C" 8cm</t>
  </si>
  <si>
    <t>Pavimento Flexível Novo</t>
  </si>
  <si>
    <t>Revestimento com CBUQ - faixa "A" 5cm</t>
  </si>
  <si>
    <t>Revestimento com CBUQ - faixa "C" 5cm</t>
  </si>
  <si>
    <t>Revestimento com CBUQ - faixa "A" 4cm</t>
  </si>
  <si>
    <t>Pavimento Rígido Novo</t>
  </si>
  <si>
    <t>a) Serviços Preliminares</t>
  </si>
  <si>
    <t>020103U</t>
  </si>
  <si>
    <t>Limpeza e regularização de terreno</t>
  </si>
  <si>
    <t>b) Edificações</t>
  </si>
  <si>
    <t>c) Equipamentos - Aluguel</t>
  </si>
  <si>
    <t>d) Mobiliário - Aluguel</t>
  </si>
  <si>
    <t>e) Veículos - Aluguel</t>
  </si>
  <si>
    <t>Seguro de Vida (p/ 80 pessoas) - R$15,00/pessoa</t>
  </si>
  <si>
    <t>Zelador</t>
  </si>
  <si>
    <t>010404U</t>
  </si>
  <si>
    <t>Tapume chapa res. 10 mm pint. cfe. mod. PMC</t>
  </si>
  <si>
    <t>Guarita - fator 0,5</t>
  </si>
  <si>
    <t>Escritório - 0,8</t>
  </si>
  <si>
    <t>3 - ESTAÇÃO VILA OLÍMPICA/ESTAÇÃO FAGUNDES VARELA</t>
  </si>
  <si>
    <t>b) Despesas Gerais</t>
  </si>
  <si>
    <t>Comp1TER</t>
  </si>
  <si>
    <t>FORNECIMENTO DE MOLEDO/SAIBRO PARA ATERRO</t>
  </si>
  <si>
    <t>MOLEDO/SAIBRO</t>
  </si>
  <si>
    <t>COMP1TER</t>
  </si>
  <si>
    <t xml:space="preserve">Poço de visita p/ tubos de até 0,60m c/ tampão de ferro fundido </t>
  </si>
  <si>
    <t xml:space="preserve">Poço de visita p/ tubos de até 0,80m c/ tampão de ferro fundido </t>
  </si>
  <si>
    <t xml:space="preserve">Poço de visita p/ tubos de até 1,50m c/ tampão de ferro fundido </t>
  </si>
  <si>
    <t xml:space="preserve">Poço de visita p/ tubos de até 2,00m c/ tampão de ferro fundido </t>
  </si>
  <si>
    <t xml:space="preserve">Poço de visita p/ tubos de até 2,20m c/ tampão de ferro fundido </t>
  </si>
  <si>
    <t>PAI-10</t>
  </si>
  <si>
    <t>Fornecimento/assentamento de blocos de concreto tipo "Paver" Cor Natural e=8cm</t>
  </si>
  <si>
    <t>PAI-12</t>
  </si>
  <si>
    <t>PAI-13</t>
  </si>
  <si>
    <t>PAI-34</t>
  </si>
  <si>
    <t>PAI-35</t>
  </si>
  <si>
    <t>Esc. e carga em mat. de 1a. Categoria (camada granular)</t>
  </si>
  <si>
    <t>Levantamento/rebaixamento tampão no passeio</t>
  </si>
  <si>
    <t xml:space="preserve">Fresagem do pavimento c/ varreção e transporte </t>
  </si>
  <si>
    <t>Revestimento com CBUQ - faixa "A" - Recomposição</t>
  </si>
  <si>
    <t>Remendos Profundos</t>
  </si>
  <si>
    <t>Via Marginal Direita</t>
  </si>
  <si>
    <t>Substituição de material inservível com areia - reforço do subleito</t>
  </si>
  <si>
    <t>Substituição de material inservível com areia - reforço do subleito (mat. reciclado)</t>
  </si>
  <si>
    <t>Execução de sub-base de moledo compactado - reforço do subleito</t>
  </si>
  <si>
    <t>Execução de sub-base de moledo compactado - reforço do subleito (mat. reciclado)</t>
  </si>
  <si>
    <t>Execução de base de brita 4-A compactado - sub-base</t>
  </si>
  <si>
    <t>Execução de base de brita 4-A compactado - sub-base (mat. reciclado)</t>
  </si>
  <si>
    <t>Execução de base de concreto compactado a rolo Fctmk = 1,5 MPa</t>
  </si>
  <si>
    <t>Pintura de ligação com emulsão RR-2C - cura</t>
  </si>
  <si>
    <t xml:space="preserve">Pintura de ligação com emulsão RR-2C </t>
  </si>
  <si>
    <t>Via Marginal Esquerda</t>
  </si>
  <si>
    <t>R. Cel. Francisco de P. M. Brito</t>
  </si>
  <si>
    <t>PAV-45</t>
  </si>
  <si>
    <t>Placa de concreto de cimento portland Fctmk=4.5MPa, com régua vibratória simples, inclusive forma metálica</t>
  </si>
  <si>
    <t>Pintura de ligação com emulsão RR-2C (cura)</t>
  </si>
  <si>
    <t>Fornecimento / plantio de verbena</t>
  </si>
  <si>
    <t>Fornecimento / plantio de lírio roxo das pedreiras</t>
  </si>
  <si>
    <t xml:space="preserve">Fornecimento / plantio de clúsia </t>
  </si>
  <si>
    <t>Fornecimento / plantio de calatéia</t>
  </si>
  <si>
    <t>Fornecimento / plantio de resedá amarelo</t>
  </si>
  <si>
    <t>Forn. e impl. placa de aço retangular L=200x100cm, PDs, tipo 4A, fixada em semi pórtico tipo 1</t>
  </si>
  <si>
    <t>Forn. e impl. placa de alumínio, retangular L=300x150cm, PDs, tipo 4BA, fixada em semi pórtico tipo 2</t>
  </si>
  <si>
    <t>Passarela Vila Olimpica</t>
  </si>
  <si>
    <t>Eletroduto rígido de ferro galvanizado roscável, barra de 3m - Ø 2"</t>
  </si>
  <si>
    <t>Kanalex tubo flexivel de pvc - Ø2"</t>
  </si>
  <si>
    <t>Eletroduto de pvc rigido, barra de 3m - Ø 1"</t>
  </si>
  <si>
    <t>Eletroduto de pvc rigido, barra de 3m - Ø 3/4"</t>
  </si>
  <si>
    <t>Quadro de distribuição - QT-passarela com barramentos de cobre p/ 100A, instalação de sobrepor, com proteção geral trifásica, ver diagrama trifilar.</t>
  </si>
  <si>
    <t xml:space="preserve">Disjuntor termomagnético bipolar 10A </t>
  </si>
  <si>
    <t xml:space="preserve">Disjuntor termomagnético tripolar 40A </t>
  </si>
  <si>
    <t>Contactor tripolar 30A</t>
  </si>
  <si>
    <t>Chave 1 polo x 2 posições, 16A</t>
  </si>
  <si>
    <t>relé fotoelétrico 220v, 16A</t>
  </si>
  <si>
    <t>condutor de cobre isolado, 2,5mm², 750V, cor vermelho</t>
  </si>
  <si>
    <t>condutor de cobre isolado, 2,5mm², 750V, cor verde</t>
  </si>
  <si>
    <t>condutor de cobre isolado, 4mm², 750V, cor vermelho</t>
  </si>
  <si>
    <t>condutor de cobre isolado, 4mm², 750V, cor verde</t>
  </si>
  <si>
    <t>Caixa de passagem de ferro galvanizado, 20 x 20 x 12cm</t>
  </si>
  <si>
    <t>Caixa de passagem de ferro galvanizado, 10 x 10 x 10cm</t>
  </si>
  <si>
    <t>Projetor com grau de proteção IP66 fabricado em perfil de alumínio extrudado, fechado nas duas extremidades por tampas em alumínio injetado, sendo uma colada com silicone e a outra móvel com vedação através de anel de silicone comprimido uniformemente, fixadas através de dois parafusos imperdíveis. O peso sem equipamentos elétricos não deverá superar 3 kg. Deve possuir vidro temperado de alta resistência mecânica unificado ao corpo por silicone. O desenho do projetor deverá evitar o acúmulo de água sobre o difusor. Os equipamentos elétricos deverão estar incorporados e montados em placa própria removível para facilitar a manutenção. Deve possuir quatro ranhuras para parafusos, localizadas na parte posterior e nas abas do perfil permitindo fixação direta ou por meio de estribo ou clipes. O refletor deverá ser em alumínio anodizado e/ou metalizado e colado com grau de purreza mínimo de 99,5%. Deverá apresentar certificado de ensaio de estanqueidade e somente serão aceitos laudos de ensaios realizados em laboratórios de fabricantes desde que os mesmos sejam reconhecidos por orgãos nacionais e/ou internacionais. Deverá acompanhar software com a curva fotométrica do projetor. Deverá possuir soquete base G-12 para lâmpada de 250W. Equipado com kit eletrônico composto de reator para lâmpada multivapor metálico de 250W/220V/60Hz D.T. 65 uso interno, alto fator de potência, núcleo aberto com resina dobeckan, com ignitor e capacitor, lâmpada de multivapor metálico com tubo de descarga cerâmico potência de 250W (tubular clara base G-12)</t>
  </si>
  <si>
    <t>Estação Vila Olimpica</t>
  </si>
  <si>
    <t>Caixa de concreto ou alvenaria, com tampa de concreto 30x30x60cm</t>
  </si>
  <si>
    <t>Caixa de concreto ou alvenaria, com tampa de concreto 50x50x60cm</t>
  </si>
  <si>
    <t>Quadro de distribuição - QT-Vila Olimpica com barramentos de cobre p/ 100A, instalação embutir ver diagrama trifilar.</t>
  </si>
  <si>
    <t xml:space="preserve">Disjuntor termomagnético unipolar 10A </t>
  </si>
  <si>
    <t>Disjuntor termomagnético bipolar 10A</t>
  </si>
  <si>
    <t>Disjuntor termomagnéico bipolar 16A</t>
  </si>
  <si>
    <t xml:space="preserve">Disjuntor termomagnético tripolar 20A </t>
  </si>
  <si>
    <t>Disjuntor termomagnético tripolar 25A</t>
  </si>
  <si>
    <t xml:space="preserve">Disjuntor termomagnético tripolar 30A </t>
  </si>
  <si>
    <t>contactor tripolar 40A</t>
  </si>
  <si>
    <t>idem - Ø 1 .1/4"</t>
  </si>
  <si>
    <t>idem - Ø 3"</t>
  </si>
  <si>
    <t>Terminal para Kanalex- caixa de passagem Ø1"</t>
  </si>
  <si>
    <t>idem Ø 1.1/4"</t>
  </si>
  <si>
    <t>idem Ø 3"</t>
  </si>
  <si>
    <t>Anel de fixação Kanalex-caixa metálica Ø1"</t>
  </si>
  <si>
    <t>Eletroduto de ferro galvanizado, barra de 3m - Ø 2"</t>
  </si>
  <si>
    <t>Eletroduto de ferro galvanizado, barra de 3m - Ø 3"</t>
  </si>
  <si>
    <t>caixa octogonal para laje</t>
  </si>
  <si>
    <t xml:space="preserve">caixa 2x4" </t>
  </si>
  <si>
    <t>interruptor simples 1 tecla com espelho 2x4"</t>
  </si>
  <si>
    <t>tomada  2P+T, 250V, tipo universal com espelho 2x4"</t>
  </si>
  <si>
    <t>cadeado para projetores de fachada</t>
  </si>
  <si>
    <t>conector Gar</t>
  </si>
  <si>
    <t>condutor de cobre isolado, 1KV, 6,0mm²</t>
  </si>
  <si>
    <t>condutor de cobre isolado, 1KV, 10,0 mm²</t>
  </si>
  <si>
    <t>condutor de cobre isolado, 1KV, 16,0 mm²</t>
  </si>
  <si>
    <t>condutor de cobre isolado,, 1 kV 50mm²</t>
  </si>
  <si>
    <t>condutor de cobre nu 50 mm² (aterram)</t>
  </si>
  <si>
    <t xml:space="preserve">Projetor para iluminação externa fechado, próprio para 1 lâmpada vapor de sódio alta pressão 400W. O sistema óptico é composto de refletor em aluminio anodizado com grande rendimento luminoso. O equipamento auxiliar deverá ser alojado na caixa fechada. O vidro protetor, temperado, sustentado por aro de perfil de aluminio e vedação em guarnição grau de proteção IP65, porta lâmpada E40, de porcelana reforçada. Deverá possuir sistema de drenagem de água de condensação </t>
  </si>
  <si>
    <t>cabo para telefone CI-50-10</t>
  </si>
  <si>
    <t>cabo para telefone CCE-2</t>
  </si>
  <si>
    <t>bloco M-10-P</t>
  </si>
  <si>
    <t>aneis guia AG-S1</t>
  </si>
  <si>
    <t>caixa para telefone tipo R-1 (60x55)  ( tampão de ferro fundido)</t>
  </si>
  <si>
    <t>Acessorios para elétrica</t>
  </si>
  <si>
    <t>Quadro de distibuição - QT-Fagundes Varela c/ barramentos de cobre p/ 100A,  instalação embutir ver diagrama trifilar.</t>
  </si>
  <si>
    <t>Disjuntor termomagnético unipolar 10A</t>
  </si>
  <si>
    <t>Disjuntor termomagnético bipolar 20A</t>
  </si>
  <si>
    <t>Disjuntor termomagnético bipolar 16A</t>
  </si>
  <si>
    <t xml:space="preserve">Disjuntor termomagnético tripolar 25A </t>
  </si>
  <si>
    <t>relé fotoelétrico</t>
  </si>
  <si>
    <t>Caixa de passagem de concreto ou alvenaria 30x30x60cm</t>
  </si>
  <si>
    <t>Caixa de passagem de concreto ou alvenaria 50x50x60cm</t>
  </si>
  <si>
    <t>Eletroduto de ferro galvanizado , barra de 3m - Ø (3")</t>
  </si>
  <si>
    <t>ba</t>
  </si>
  <si>
    <t>Eletroduto de ferro galvanizado , barra de 3m - Ø (1")</t>
  </si>
  <si>
    <t>Jogo de bucha e arruela de 32mm</t>
  </si>
  <si>
    <t>condutor de cobre isolado, 1KV, 16mm²</t>
  </si>
  <si>
    <t>condutor de cobre isolado, 1KV, 50mm²</t>
  </si>
  <si>
    <t>condutor de cobre  50 mm² nu (aterram)</t>
  </si>
  <si>
    <t>Caixa de concreto 30x30x60cm, com tampa de concreto</t>
  </si>
  <si>
    <t>Fornecimento/instalação de relé bipolar CB-60 (chave de comando)</t>
  </si>
  <si>
    <t>ILUMINAÇÃO - ADEQUAÇÃO DE REDE</t>
  </si>
  <si>
    <t>Materiais</t>
  </si>
  <si>
    <t>SUPORTE C 13.8KV</t>
  </si>
  <si>
    <t>ISOL. C/PINO UNIVER. 15KV POLIMÉRICO</t>
  </si>
  <si>
    <t>CHAVE FUS. DSTB,TIPO C,15KV C/PF.</t>
  </si>
  <si>
    <t>CONECT. CUNHA 02X02AWG COMPACTA</t>
  </si>
  <si>
    <t>ISOLADOR TIPO PILAR PORCELANA 15KV 110NBI</t>
  </si>
  <si>
    <t>COBERTURA P/ EMENDA CABO COBERTO 02/15KV</t>
  </si>
  <si>
    <t>CONECT. CUNHA 336CA / 336 CA</t>
  </si>
  <si>
    <t>CONECT. CUNHA 336CA / 02 CA</t>
  </si>
  <si>
    <t>CONECT. CUNHA 40CA - 40CAA / 40CA</t>
  </si>
  <si>
    <t>ESPAÇADOR RD 15KV COM ANEL</t>
  </si>
  <si>
    <t>POSTE DUPLO T D/200/12M</t>
  </si>
  <si>
    <t>ISOLADOR ROLDANA</t>
  </si>
  <si>
    <t>ALÇA PRE-FORMADA CA-CAA 2 AWG</t>
  </si>
  <si>
    <t>ALCA PRE-FORMADA CA-CAA 2/0 AWG</t>
  </si>
  <si>
    <t>ALCA PRE-FORMADA CA-CAA 4/0 AWG</t>
  </si>
  <si>
    <t>ALÇA ESTAI 6.4mm</t>
  </si>
  <si>
    <t>ALÇA ESTAI 9.5mm</t>
  </si>
  <si>
    <t>FIXADOR PRE-FORMADO C. POSTE 6.4MM</t>
  </si>
  <si>
    <t>SAPATILHA</t>
  </si>
  <si>
    <t>GANCHO OLHAL</t>
  </si>
  <si>
    <t>ARMAÇÃO SEC. COM 1 ESTRIBO</t>
  </si>
  <si>
    <t>LUVA DE EMENDA CA 2 AWG</t>
  </si>
  <si>
    <t>LUVA EMENDA CA 2/0 AWG</t>
  </si>
  <si>
    <t>LUVA EMENDA CA 4/0 AWG</t>
  </si>
  <si>
    <t>FIO AMARRAÇÃO CA 4 AWG</t>
  </si>
  <si>
    <t>Kg</t>
  </si>
  <si>
    <t>CABO CA 2 AWG</t>
  </si>
  <si>
    <t>CABO CA 2/0 AWG</t>
  </si>
  <si>
    <t>CABO CA 4/0 AWG</t>
  </si>
  <si>
    <t>CABO CA 336,4 MCM</t>
  </si>
  <si>
    <t>CORDOALHA DE AÇO SM 6.4mm</t>
  </si>
  <si>
    <t>CORDOALHA DE AÇO HS 9.5mm</t>
  </si>
  <si>
    <t>PARA-RAIOS - 15KV - 5KA DISTRIBUICAO</t>
  </si>
  <si>
    <t>ELO FUSÍVEL 500MM 3A TIPO H</t>
  </si>
  <si>
    <t>CINTA CIRCULAR 200MM</t>
  </si>
  <si>
    <t>CINTA CIRCULAR 210MM</t>
  </si>
  <si>
    <t>LUVA EMENDA CA 336.4 MCM</t>
  </si>
  <si>
    <t>ARMAÇÃO SEC. COM 4 ESTRIBOS</t>
  </si>
  <si>
    <t>HASTE ATERR. ACO-COBRE 2.4 M</t>
  </si>
  <si>
    <t>CABO DE ALUM. COBERTO 15KV 185MM</t>
  </si>
  <si>
    <t>CABO DE ALUM. COBERTO 15KV 35MM</t>
  </si>
  <si>
    <t>CONECT. CUNHA TIPO III IP E RAMAL</t>
  </si>
  <si>
    <t>CONECT. CUNHA TIPO I  IP E RAMAL</t>
  </si>
  <si>
    <t>CONECT. CUNHA 20CA-CAA / 2CA_E 9,5/ 9,5MM</t>
  </si>
  <si>
    <t>CONECT. CUNHA RAMAL 20CA/16MM - 6 AWG</t>
  </si>
  <si>
    <t>CONECT. CUNHA 20CA-CAA / 20CA_E 40CA-CAA/2CA</t>
  </si>
  <si>
    <t>CONECT. CUNHA RAMAL 40 CA/ 70MM - 20 AWG</t>
  </si>
  <si>
    <t>TERM. ADAPT. P/BT TR 400A 3F</t>
  </si>
  <si>
    <t>POSTE DUPLO T D/150/10.5 M</t>
  </si>
  <si>
    <t>POSTE DUPLO T B300/10,5m</t>
  </si>
  <si>
    <t>POSTE DUPLO T B600/10,5m</t>
  </si>
  <si>
    <t>POSTE DUPLO T B/300/12,0M</t>
  </si>
  <si>
    <t>POSTE DUPLO T B/600/12.0 M</t>
  </si>
  <si>
    <t>POSTE DUPLO T B/1000/12.0 M</t>
  </si>
  <si>
    <t>POSTE DUPLO T B-4/2000/12.0 M</t>
  </si>
  <si>
    <t>POSTE DUPLO T B/600/13.5 M</t>
  </si>
  <si>
    <t>POSTE DUPLO T B-1,5/1000/13.5 M</t>
  </si>
  <si>
    <t>CABO DE ALUM. QUADRUPLEX 120mm C/ NEUTRO 70MM</t>
  </si>
  <si>
    <t>CRUZETA DE CONCRETO RETANG. 2.0m 250DAN</t>
  </si>
  <si>
    <t>MAO FRANCESA PLANA  619MM</t>
  </si>
  <si>
    <t>ISOLADOR DE ANC. 15KV- BASTAO POLIMERICO</t>
  </si>
  <si>
    <t>PINO AUTO TRAVANTE 140MM P/ ISOL. PILAR</t>
  </si>
  <si>
    <t>SUPORTE TRANSF. DT 195X100MM</t>
  </si>
  <si>
    <t>CINTA CIRCULAR 360MM</t>
  </si>
  <si>
    <t>PARAFUSO CABECA QUAD. 40MM</t>
  </si>
  <si>
    <t>PARAFUSO CABECA QUAD. 60MM</t>
  </si>
  <si>
    <t>PARAFUSO CABECA QUAD.125MM</t>
  </si>
  <si>
    <t>PARAFUSO CABECA QUAD.150MM</t>
  </si>
  <si>
    <t>PARAFUSO CABECA QUAD.200MM</t>
  </si>
  <si>
    <t>PARAFUSO CABECA QUAD.250MM</t>
  </si>
  <si>
    <t>PARAFUSO CABECA QUAD.300MM</t>
  </si>
  <si>
    <t>PARAFUSO CABECA QUAD.350MM</t>
  </si>
  <si>
    <t>PARAFUSO CABECA QUAD.400MM</t>
  </si>
  <si>
    <t>PARAFUSO CABECA QUAD.450MM</t>
  </si>
  <si>
    <t>PARAFUSO CABECA QUAD.500MM</t>
  </si>
  <si>
    <t>PARAFUSO ROSCA DUPLA 150MM</t>
  </si>
  <si>
    <t>PARAFUSO ROSCA DUPLA 200MM</t>
  </si>
  <si>
    <t>PARAFUSO ROSCA DUPLA 250MM</t>
  </si>
  <si>
    <t>PARAFUSO ROSCA DUPLA 300MM</t>
  </si>
  <si>
    <t>PARAFUSO ROSCA DUPLA 350MM</t>
  </si>
  <si>
    <t>PARAFUSO ROSCA DUPLA 400MM</t>
  </si>
  <si>
    <t>PARAFUSO ROSCA DUPLA 450MM</t>
  </si>
  <si>
    <t>PARAFUSO ROSCA DUPLA 500MM</t>
  </si>
  <si>
    <t>PARAFUSO ROSCA DUPLA 600MM</t>
  </si>
  <si>
    <t>PARAFUSO CABEÇA ABAUL. 45MM</t>
  </si>
  <si>
    <t>ARRUELA QUADRADA</t>
  </si>
  <si>
    <t>ARRUELA ESPACADORA</t>
  </si>
  <si>
    <t>PORCA-OLHAL</t>
  </si>
  <si>
    <t>MANILHA-SAPATILHA</t>
  </si>
  <si>
    <t>ALCA PRE-FORMADA CA 336,4 MCM</t>
  </si>
  <si>
    <t>EMENDA P-FORMADA CORDOALHA AÇO 6MM</t>
  </si>
  <si>
    <t>LAÇO PRE-FORMADO ROLDANA CA 2 AWG</t>
  </si>
  <si>
    <t>LAÇO PRE-FORMADO ROLDANA CA 2/0 AWG</t>
  </si>
  <si>
    <t>LAÇO TOPO CA 2AWG</t>
  </si>
  <si>
    <t>LAÇO DE TOPO CA 336,4 MCM</t>
  </si>
  <si>
    <t>LAÇO PLASTICO DE TOPO 2 AWG-ISOLADOR</t>
  </si>
  <si>
    <t>LAÇO PLASTICO DE TOPO 336.4 MCM-ISOLADOR</t>
  </si>
  <si>
    <t>BRACO ANTI-BALANCO 15KV ESPACADOR</t>
  </si>
  <si>
    <t>CONECT. CUNHA 336x02 AWG COMPACTA</t>
  </si>
  <si>
    <t>CONECT. CUNHA 336x336 MCM COMPACTA</t>
  </si>
  <si>
    <t>CONECT. TERM. COMP. CA CAA 2 AWG 1F</t>
  </si>
  <si>
    <t>CONECT. TERM. COMP. CA CAA 4/0 AWG 2F</t>
  </si>
  <si>
    <t>CONECTOR TERMINAL 2/0 AWG; CA/CAA/ 70mm 2 FUROS</t>
  </si>
  <si>
    <t>CONECTOR PERFURANTE 16-70 X 6-35</t>
  </si>
  <si>
    <t>CONECTOR PERFURANTE 35-70 X 35-70</t>
  </si>
  <si>
    <t>ESTRIBO CONECTOR DERIV. CUNHA AL 2CA/CAA</t>
  </si>
  <si>
    <t>ESTRIBO CONECTOR DERIV. CUNHA AL 336 CA</t>
  </si>
  <si>
    <t>GRAMPO ANCORA. P/CABO 02 XLPE 15KV</t>
  </si>
  <si>
    <t>GRAMPO ANCORA. P/CABO 336 XLPE 15KV</t>
  </si>
  <si>
    <t>CONECT. CUNHA 2CA-35MM/2CA E 9MM/6,4MM</t>
  </si>
  <si>
    <t>CONECT. CUNHA 4CA CAA / 4CA -CAA</t>
  </si>
  <si>
    <t>CONECTOR,ATERRAMENTO CUNHA; FIO 16/ HASTE 1/2</t>
  </si>
  <si>
    <t>CINTA PLASTICA AUTO TRAVANTE.</t>
  </si>
  <si>
    <t>PROTETOR DE BUCHA AT DE TRAFO 15KV</t>
  </si>
  <si>
    <t>COBERTURA PROTETORA 15KV</t>
  </si>
  <si>
    <t>FIO DE ALUMINIO COBERTO P/ AMARRAÇÃO</t>
  </si>
  <si>
    <t>SUPORTE PARA QUINA DE POSTE</t>
  </si>
  <si>
    <t>SUPORTE L P/CH FUS-P.RAIO</t>
  </si>
  <si>
    <t>SUPORTE HORIZONTAL P/ REDE COMPACTA</t>
  </si>
  <si>
    <t>BRACO TIPO L 13.8KV P/ REDE COMPACTA</t>
  </si>
  <si>
    <t>PERFIL U PARA REDE COMPACTA PROTEG.</t>
  </si>
  <si>
    <t>FIXADOR DE PERFIL U</t>
  </si>
  <si>
    <t>ESTRIBO PARA ESPAÇADOR LOSANGULAR</t>
  </si>
  <si>
    <t>ESPACADOR P/ CRUZAMENTO AEREO 15KV</t>
  </si>
  <si>
    <t>BRACO C/ GRAMPO SUSPENSAO 52MM.</t>
  </si>
  <si>
    <t>CABO ELET. ISOL. UG. AL 120MM 0.6KV PRETO</t>
  </si>
  <si>
    <t>TRANSF. TRIF. 13,2 Kv 45 KVA</t>
  </si>
  <si>
    <t>TOTAL 16</t>
  </si>
  <si>
    <t>total 16</t>
  </si>
  <si>
    <t>13.2</t>
  </si>
  <si>
    <t>QUANT. APLICADA</t>
  </si>
  <si>
    <t>QUANT. US/ud APLICADA</t>
  </si>
  <si>
    <t xml:space="preserve">CUSTO </t>
  </si>
  <si>
    <t>QUANT. RETIRADA</t>
  </si>
  <si>
    <t>QUANT. US/ud RETIRADA</t>
  </si>
  <si>
    <t>UD.</t>
  </si>
  <si>
    <t>APLICADO</t>
  </si>
  <si>
    <t>RETIRADO</t>
  </si>
  <si>
    <t>BONIF.(R$)</t>
  </si>
  <si>
    <t>MÃO-DE-OBRA</t>
  </si>
  <si>
    <t>VALOR DA US</t>
  </si>
  <si>
    <t>LOCAÇÃO DE ESTRUTURA EM RDU</t>
  </si>
  <si>
    <t>CAVA TERRA/ARENITO ATE 600 DAN ATE 12m E CONT.</t>
  </si>
  <si>
    <t>LEVANT. POSTE ATÉ 12M ATE 1000 DAN</t>
  </si>
  <si>
    <t>LEVANT. POSTE ATÉ 12M ACIMA 1000 DAN</t>
  </si>
  <si>
    <t>LEVANT. POSTE ENTRE 13/15m</t>
  </si>
  <si>
    <t>CAVA TERRA/ARENITO IGUAL OU SUP. 1000 DAN AT</t>
  </si>
  <si>
    <t>CADEIA DE ISOLADORES DE DISCO</t>
  </si>
  <si>
    <t>CRUZETA SIMPLES SEM ISOLADORES</t>
  </si>
  <si>
    <t xml:space="preserve">CRUZETA DUPLA SEM ISOLADORES </t>
  </si>
  <si>
    <t>ISOLADOR DE PINO</t>
  </si>
  <si>
    <t>ARMACAO C/1 EST.OU PORCA-OLHAL</t>
  </si>
  <si>
    <t xml:space="preserve">ARMACAO SECUND. MAIS 1 ESTRIBO </t>
  </si>
  <si>
    <t>ESCORA DE SUBSOLO DUPLA</t>
  </si>
  <si>
    <t>ESTAI CONTRAPOSTE SIMPLES AT/BT</t>
  </si>
  <si>
    <t xml:space="preserve">ESTAI DE POSTE A POSTE AT/BT </t>
  </si>
  <si>
    <t>RETENSION. CABO ACO P/ESTAI EXIST.</t>
  </si>
  <si>
    <t>LANC. COND. AT ATE 02 CA-CAA</t>
  </si>
  <si>
    <t>km</t>
  </si>
  <si>
    <t>LANC. COND. AT 40/336CAA &gt; 40/336CA</t>
  </si>
  <si>
    <t>LANC. COND. BT ATE 02 CA-CAA</t>
  </si>
  <si>
    <t>LANC. COND. BT ACIMA  02 CA-CAA</t>
  </si>
  <si>
    <t>RETENSION. COND. EXISTENTE AT POR CABO</t>
  </si>
  <si>
    <t>RETENSION. COND. EXISTENTE BT POR CABO</t>
  </si>
  <si>
    <t>RETENSION. COND. EXISTENTE BT (RSI), POR REDE</t>
  </si>
  <si>
    <t xml:space="preserve">AMARRACAO DE CABO AT E/OU BT </t>
  </si>
  <si>
    <t>CRUZAMENTO AEREO EM AT</t>
  </si>
  <si>
    <t>CRUZAMENTO AEREO EM BT</t>
  </si>
  <si>
    <t>EMENDA COND. ACO/AL CA/COBRE</t>
  </si>
  <si>
    <t xml:space="preserve">LIGACAO DE CABOS EM AT E BT </t>
  </si>
  <si>
    <t>ATERRAMENTO TEMPORARIO PROT COLETI BT</t>
  </si>
  <si>
    <t>INST. CONJ. SEGURANÇA P/ TRABALHOS EM ALTURA</t>
  </si>
  <si>
    <t>ATERREM. TEMPOR. P/ PROT. COLETIVA AT POR ATERRAMENTO</t>
  </si>
  <si>
    <t>HASTE ATERR.ACO-COBRE PRIMEIRA</t>
  </si>
  <si>
    <t>CHAVE FUSIVEL/SECC. FACA UNIP.</t>
  </si>
  <si>
    <t>CHAVE BASC. / A OLEO OPER. MANUAL</t>
  </si>
  <si>
    <t>PARA-RAIOS</t>
  </si>
  <si>
    <t xml:space="preserve">TRAFO TRIF. REL. REG. 13,8-34,5KV </t>
  </si>
  <si>
    <t>CONCRETAGEM</t>
  </si>
  <si>
    <t>DESLOC. PESSOAL ATE LOCAL OBRA</t>
  </si>
  <si>
    <t>INSTALAÇÃO PLACA IDENTIFICAÇÃO</t>
  </si>
  <si>
    <t xml:space="preserve">FORNECIMENTO DE CARTUCHO </t>
  </si>
  <si>
    <t>LANC. CORDOALHA AÇO 6.4MM</t>
  </si>
  <si>
    <t>LANC. CORDOALHA AÇO 9MM</t>
  </si>
  <si>
    <t>LANC. CABO PROTEGIDO 35MM2</t>
  </si>
  <si>
    <t>LANC. CABO PROTEGIDO 185MM2</t>
  </si>
  <si>
    <t>SUPORTE L</t>
  </si>
  <si>
    <t>ESPAC. VERTICAL OU LOSANGULAR</t>
  </si>
  <si>
    <t>FIX. CORDOALHA NO SUPORTE L</t>
  </si>
  <si>
    <t>LIG. CABO PROTEGIDO 35MM2</t>
  </si>
  <si>
    <t>EMENDA CABO PROTEGIDO 35MM2</t>
  </si>
  <si>
    <t>PROTETOR DE JUMPE E BUCHA</t>
  </si>
  <si>
    <t>CRUZAMENTO AEREO ACIMA 185MM2 P/ FASE</t>
  </si>
  <si>
    <t>LIG. CABO PROTEGIDO 185MM2</t>
  </si>
  <si>
    <t>CRUZ. AEREO CORDOALHA ACO ATÉ 9</t>
  </si>
  <si>
    <t>EPACADOR LOSANG. C/ ANTIBALANÇO</t>
  </si>
  <si>
    <t>CRUZETA 9M</t>
  </si>
  <si>
    <t>SUPORTE C OU SUPORTE HORIZONTAL</t>
  </si>
  <si>
    <t>LANC. CABO AL. MULTIPLEXADO AUTO-S</t>
  </si>
  <si>
    <t xml:space="preserve">LIGACAO C/ CONECTOR PERFURANTE P/ LIG. </t>
  </si>
  <si>
    <t xml:space="preserve">BRAÇO COM GRAMPO DE SUSPENSAO </t>
  </si>
  <si>
    <t xml:space="preserve">MÃO DE OBRA </t>
  </si>
  <si>
    <t>181103U</t>
  </si>
  <si>
    <t>181102U</t>
  </si>
  <si>
    <t>180708U</t>
  </si>
  <si>
    <t>180719U</t>
  </si>
  <si>
    <t>181305U</t>
  </si>
  <si>
    <t>181306U</t>
  </si>
  <si>
    <t>180701U</t>
  </si>
  <si>
    <t>180709U</t>
  </si>
  <si>
    <t>180716U</t>
  </si>
  <si>
    <t>180717U</t>
  </si>
  <si>
    <t>181504U</t>
  </si>
  <si>
    <t>181505U</t>
  </si>
  <si>
    <t>180122U</t>
  </si>
  <si>
    <t>181338U</t>
  </si>
  <si>
    <t>181339U</t>
  </si>
  <si>
    <t>181340U</t>
  </si>
  <si>
    <t>181343U</t>
  </si>
  <si>
    <t>181328U</t>
  </si>
  <si>
    <t>190601U</t>
  </si>
  <si>
    <t>181130U</t>
  </si>
  <si>
    <t>190203U</t>
  </si>
  <si>
    <t>Aparelhos de apoio em neoprene fretado (400x400x69)mm³</t>
  </si>
  <si>
    <t>m³.km</t>
  </si>
  <si>
    <t>a) Caixa de ventilação com estrutura em alumínio anodizado e cantos de plástico, com vazão de 14.450 m³/h e pressão estática disponível de 40mmCa, com inversor de frequência no motor, tipo vetorial, modelo BBS 500 - Berliner Luft ou equivalente técnico; b) Painel c/ células evaporativas de espessura mínima de 12", c/ bomba especial c/ intertravamento c/ bateria (que ao desligar a bomba, mantenha o ventilador ligado por 15 minutos) c/ bandeja de aço inox e tubulação de recirculação hidráulica em PVC.</t>
  </si>
  <si>
    <t>m²/mês</t>
  </si>
  <si>
    <t xml:space="preserve">Fornecimento/instalação de cabo cobre coberto 6 mm² 1kv </t>
  </si>
  <si>
    <t xml:space="preserve">Fornecimento/instalação de cabo cobre coberto 16 mm² 1kv </t>
  </si>
  <si>
    <t>Conector perfurante isolado - cabo 16 mm²</t>
  </si>
  <si>
    <t>Cabo para ligação de laço detector de veículos controlador de tráfego, 1x1,5mm²</t>
  </si>
  <si>
    <t>Cabo condutor flexível para ligação de controlador de tráfego, 2x4,0mm²</t>
  </si>
  <si>
    <t>Cabo condutor flexível para ligação de grupo focal pedestre, 3x1,5mm²</t>
  </si>
  <si>
    <t>Cabo condutor flexível para ligação de grupo focal veicular, 4x1,5mm²</t>
  </si>
  <si>
    <t>RABICHO PARA RSI 70mm²; 0.5m; C/ 3 RABICHOS COLORIDOS</t>
  </si>
  <si>
    <t>RABICHO P/ RSI 35Mm²; 0,5M C/ 3 RABICHOS COLORIDOS</t>
  </si>
  <si>
    <t>RABICHO P/ RSI 35Mm²; 0,5M C/ 2 RABICHOS PRETOS</t>
  </si>
  <si>
    <t>CABO DE ALUM. QUADRUPLEX 35mm²</t>
  </si>
  <si>
    <t>FIO ACO-COBRE 16 Mm²</t>
  </si>
  <si>
    <t>CONECT.TERM. COMP. COBRE  16Mm² 1F</t>
  </si>
  <si>
    <t>CABO DE COBRE COBERTO 16Mm² / 15KV</t>
  </si>
  <si>
    <t>CABO DE ALUM. QUADRUPLEX 70mm²</t>
  </si>
  <si>
    <t>CONECTOR DER. LV COBRE 25 A 95Mm²</t>
  </si>
  <si>
    <t>TER-2</t>
  </si>
  <si>
    <t>OBRAS COMPLEMENTARES</t>
  </si>
  <si>
    <t>Escavação e carga em material de 1ª categoria</t>
  </si>
  <si>
    <t>Junta transversal, inclusive corte, treliça aço CA 25 Ø 32mm, cordão de polipropileno e selante.</t>
  </si>
  <si>
    <t>Junta longitudinal, inclusive corte, treliça aço CA 50 Ø 10mm, cordão de polipropileno e selante.</t>
  </si>
  <si>
    <t>Dissipador de energia na saída de bocas para Ø 2,20m (deb 10)</t>
  </si>
  <si>
    <t>Condulete de aluminio para eletroduto de Ø25mm tipo "C"</t>
  </si>
  <si>
    <t>Condulete de aluminio para eletroduto de Ø25mm tipo "E"</t>
  </si>
  <si>
    <t>Condulete de aluminio para eletroduto de Ø25mm tipo "LR"</t>
  </si>
  <si>
    <t>Condulete de aluminio para eletroduto de Ø25mm tipo "LL"</t>
  </si>
  <si>
    <t>Condulete de aluminio para eletroduto de Ø25mm tipo "T"</t>
  </si>
  <si>
    <t>Condulete de aluminio para eletroduto de Ø32mm tipo "T"</t>
  </si>
  <si>
    <t>Condulete de aluminio para eletroduto de Ø32mm tipo "C"</t>
  </si>
  <si>
    <t>Condulete de aluminio para eletroduto de Ø32mm tipo "LR"</t>
  </si>
  <si>
    <t>idem- Ø3"</t>
  </si>
  <si>
    <t>DG- telefone, caixa n°4 (60x60x12)cm</t>
  </si>
  <si>
    <t>Eletroduto de FG Ø 2 "</t>
  </si>
  <si>
    <t>total 19</t>
  </si>
  <si>
    <t>total 18</t>
  </si>
  <si>
    <t>17.1</t>
  </si>
  <si>
    <t>Total 14</t>
  </si>
  <si>
    <t>total 13</t>
  </si>
  <si>
    <t>TOTAL 18</t>
  </si>
  <si>
    <t>TOTAL 19</t>
  </si>
  <si>
    <t>TOTAL 19 C/ BDI DE 20,31%</t>
  </si>
  <si>
    <t>TOTAL 20</t>
  </si>
  <si>
    <t>TOTAL 20 C/ BDI DE 20,31%</t>
  </si>
  <si>
    <t>total 20</t>
  </si>
  <si>
    <t>TOTAL 17</t>
  </si>
  <si>
    <t>17.2</t>
  </si>
  <si>
    <t>Material</t>
  </si>
  <si>
    <t>Imprimação com CM-30 (ciclovia)</t>
  </si>
  <si>
    <t>PAV-5</t>
  </si>
  <si>
    <t>PAV-25</t>
  </si>
  <si>
    <t>Fornecimento/assentamento de sarjeta com 2 paralelepipedos rejuntados (ciclovia)</t>
  </si>
  <si>
    <t>Fornecimento / plantio de pinheiro do paraná</t>
  </si>
  <si>
    <t>T602</t>
  </si>
  <si>
    <t>T701</t>
  </si>
  <si>
    <t>GAP-145</t>
  </si>
  <si>
    <t>GAP-139</t>
  </si>
  <si>
    <t>GAP-149</t>
  </si>
  <si>
    <t>E924</t>
  </si>
  <si>
    <t>T608</t>
  </si>
  <si>
    <t>M359</t>
  </si>
  <si>
    <t>M908</t>
  </si>
  <si>
    <t>T604</t>
  </si>
  <si>
    <t>GAP-147</t>
  </si>
  <si>
    <t>GAP-140</t>
  </si>
  <si>
    <t>E402</t>
  </si>
  <si>
    <t>E404</t>
  </si>
  <si>
    <t>GAP-138</t>
  </si>
  <si>
    <t>E337</t>
  </si>
  <si>
    <t>E338</t>
  </si>
  <si>
    <t>E427</t>
  </si>
  <si>
    <t>E508</t>
  </si>
  <si>
    <t>T511</t>
  </si>
  <si>
    <t>M983</t>
  </si>
  <si>
    <t>M202</t>
  </si>
  <si>
    <t>M704</t>
  </si>
  <si>
    <t>AM35</t>
  </si>
  <si>
    <t>M604</t>
  </si>
  <si>
    <t>GAP-148</t>
  </si>
  <si>
    <t>M911</t>
  </si>
  <si>
    <t>M901</t>
  </si>
  <si>
    <t>M982</t>
  </si>
  <si>
    <t>E903</t>
  </si>
  <si>
    <t>M624</t>
  </si>
  <si>
    <t>M625</t>
  </si>
  <si>
    <t>T603</t>
  </si>
  <si>
    <t>F801</t>
  </si>
  <si>
    <t>F802</t>
  </si>
  <si>
    <t>F804</t>
  </si>
  <si>
    <t>M414</t>
  </si>
  <si>
    <t>M622</t>
  </si>
  <si>
    <t>M307</t>
  </si>
  <si>
    <t>M319</t>
  </si>
  <si>
    <t>M985</t>
  </si>
  <si>
    <t>DATA-BASE:  Junho/2011</t>
  </si>
  <si>
    <t>CONSÓRCIO ENGEMIN-TRAMO-CONSPEL</t>
  </si>
  <si>
    <t>DATA BASE: JUNHO/2011</t>
  </si>
  <si>
    <t>GAP-109</t>
  </si>
  <si>
    <t>Caminhão Carroceria - de madeira  9 t</t>
  </si>
  <si>
    <t>Caminhão Basculante - 6 m³</t>
  </si>
  <si>
    <t>ILU-180</t>
  </si>
  <si>
    <t>ILU-071</t>
  </si>
  <si>
    <t>ILU-102</t>
  </si>
  <si>
    <t>ILU-185</t>
  </si>
  <si>
    <t>ILU-101</t>
  </si>
  <si>
    <t>ILU-109</t>
  </si>
  <si>
    <t>ILU-105</t>
  </si>
  <si>
    <t>ILU-155</t>
  </si>
  <si>
    <t>ILU-253</t>
  </si>
  <si>
    <t>ILU-245</t>
  </si>
  <si>
    <t>ILU-184</t>
  </si>
  <si>
    <t>ILU-013</t>
  </si>
  <si>
    <t>ILU-006</t>
  </si>
  <si>
    <t>ILU-007</t>
  </si>
  <si>
    <t>ILU-002</t>
  </si>
  <si>
    <t>ILU-003</t>
  </si>
  <si>
    <t>ILU-254</t>
  </si>
  <si>
    <t>ILU-174</t>
  </si>
  <si>
    <t>ILU-018</t>
  </si>
  <si>
    <t>ILU-202</t>
  </si>
  <si>
    <t>ILU-049</t>
  </si>
  <si>
    <t>ILU-044</t>
  </si>
  <si>
    <t>ILU-142</t>
  </si>
  <si>
    <t>ILU-231</t>
  </si>
  <si>
    <t>ILU-153</t>
  </si>
  <si>
    <t>ILU-077</t>
  </si>
  <si>
    <t>ILU-078</t>
  </si>
  <si>
    <t>ILU-203</t>
  </si>
  <si>
    <t>ILU-019</t>
  </si>
  <si>
    <t>ILU-160</t>
  </si>
  <si>
    <t>ILU-178</t>
  </si>
  <si>
    <t>ILU-138</t>
  </si>
  <si>
    <t>ILU-123</t>
  </si>
  <si>
    <t>ILU-117</t>
  </si>
  <si>
    <t>ILU-104</t>
  </si>
  <si>
    <t>ILU-113</t>
  </si>
  <si>
    <t>ILU-099</t>
  </si>
  <si>
    <t>ILU-116</t>
  </si>
  <si>
    <t>ILU-244</t>
  </si>
  <si>
    <t>ILU-240</t>
  </si>
  <si>
    <t>ILU-242</t>
  </si>
  <si>
    <t>ILU-241</t>
  </si>
  <si>
    <t>ILU-243</t>
  </si>
  <si>
    <t>ILU-247</t>
  </si>
  <si>
    <t>ILU-249</t>
  </si>
  <si>
    <t>ILU-246</t>
  </si>
  <si>
    <t>ILU-248</t>
  </si>
  <si>
    <t>ILU-053</t>
  </si>
  <si>
    <t>ILU-050</t>
  </si>
  <si>
    <t>ILU-144</t>
  </si>
  <si>
    <t>ILU-209</t>
  </si>
  <si>
    <t>ILU-233</t>
  </si>
  <si>
    <t>ILU-256</t>
  </si>
  <si>
    <t>ILU-212</t>
  </si>
  <si>
    <t>ILU-213</t>
  </si>
  <si>
    <t>ILU-214</t>
  </si>
  <si>
    <t>ILU-215</t>
  </si>
  <si>
    <t>ILU-216</t>
  </si>
  <si>
    <t>ILU-217</t>
  </si>
  <si>
    <t>ILU-218</t>
  </si>
  <si>
    <t>ILU-219</t>
  </si>
  <si>
    <t>ILU-220</t>
  </si>
  <si>
    <t>ILU-221</t>
  </si>
  <si>
    <t>ILU-222</t>
  </si>
  <si>
    <t>ILU-223</t>
  </si>
  <si>
    <t>ILU-224</t>
  </si>
  <si>
    <t>ILU-225</t>
  </si>
  <si>
    <t>ILU-226</t>
  </si>
  <si>
    <t>ILU-227</t>
  </si>
  <si>
    <t>ILU-228</t>
  </si>
  <si>
    <t>ILU-229</t>
  </si>
  <si>
    <t>ILU-210</t>
  </si>
  <si>
    <t>ILU-021</t>
  </si>
  <si>
    <t>ILU-020</t>
  </si>
  <si>
    <t>ILU-236</t>
  </si>
  <si>
    <t>ILU-207</t>
  </si>
  <si>
    <t>ILU-012</t>
  </si>
  <si>
    <t>ILU-187</t>
  </si>
  <si>
    <t>ILU-199</t>
  </si>
  <si>
    <t>ILU-025</t>
  </si>
  <si>
    <t>ILU-100</t>
  </si>
  <si>
    <t>ILU-137</t>
  </si>
  <si>
    <t>ILU-156</t>
  </si>
  <si>
    <t>ILU-128</t>
  </si>
  <si>
    <t>ILU-108</t>
  </si>
  <si>
    <t>ILU-095</t>
  </si>
  <si>
    <t>ILU-252</t>
  </si>
  <si>
    <t>ILU-258</t>
  </si>
  <si>
    <t>ILU-257</t>
  </si>
  <si>
    <t>ILU-032</t>
  </si>
  <si>
    <t>ILU-232</t>
  </si>
  <si>
    <t>ILU-168</t>
  </si>
  <si>
    <t>ILU-157</t>
  </si>
  <si>
    <t>ILU-154</t>
  </si>
  <si>
    <t>ILU-030</t>
  </si>
  <si>
    <t>Fornecimento de moledo para aterro</t>
  </si>
  <si>
    <t>TER-6</t>
  </si>
  <si>
    <t>Compactação de aterro</t>
  </si>
  <si>
    <t>Compactação de aterro/calçada</t>
  </si>
  <si>
    <t>Compactação de aterro (calçada)</t>
  </si>
  <si>
    <t>1.A.00.002.90</t>
  </si>
  <si>
    <t>Obs.: Custo/m² = R$774,47 (Tab. SINAPI/PR-Jun/2011). Aplicado fator</t>
  </si>
  <si>
    <t>Folha:  1/23</t>
  </si>
  <si>
    <t>Concreto magro</t>
  </si>
  <si>
    <t>Demolição de dispositivos de concreto simples</t>
  </si>
  <si>
    <t>Demolição de dispositivos de concreto armado</t>
  </si>
  <si>
    <t>Transposições/Demolições/Remoções</t>
  </si>
  <si>
    <t>Marginal Direita/Canaleta Central</t>
  </si>
  <si>
    <t>Aba de concreto para tubo de concreto d= 1,00m</t>
  </si>
  <si>
    <t>Aba de concreto para tubo de concreto d= 1,20m</t>
  </si>
  <si>
    <t>Aba de concreto para tubo de concreto d= 1,50m</t>
  </si>
  <si>
    <t>Marginal Esquerda/Canaleta Central</t>
  </si>
  <si>
    <t xml:space="preserve">Poço de visita p/ tubos de até 0,40m c/ tampão de ferro fundido </t>
  </si>
  <si>
    <t xml:space="preserve">Poço de visita p/ tubos de até 1,00m c/ tampão de ferro fundido </t>
  </si>
  <si>
    <t>GAP-105</t>
  </si>
  <si>
    <t xml:space="preserve">Poço de visita p/ tubos de até 1,20m c/ tampão de ferro fundido </t>
  </si>
  <si>
    <t>R. Fagundes Varela/Rua Mercedes Seiler Rocha</t>
  </si>
  <si>
    <t>Aba de concreto para tubo de concreto d= 0,60m</t>
  </si>
  <si>
    <t>R. Francisco Ferreira da Costa</t>
  </si>
  <si>
    <t>Aba de concreto para tubo de concreto d= 1.00m</t>
  </si>
  <si>
    <t>4F</t>
  </si>
  <si>
    <t>4G</t>
  </si>
  <si>
    <t>4H</t>
  </si>
  <si>
    <t>4I</t>
  </si>
  <si>
    <t>4J</t>
  </si>
  <si>
    <t>Estação Fagunde Varela</t>
  </si>
  <si>
    <t>Regularização/Compactação manual de passeios</t>
  </si>
  <si>
    <t>PAI-9</t>
  </si>
  <si>
    <t>Fornecimento/assentamento de blocos de concreto tipo "Paver" Cor Preta e=6cm</t>
  </si>
  <si>
    <t>PAI-11</t>
  </si>
  <si>
    <t>Fornecimento/Assentamento de guia para paver 9 X19 X 39cm</t>
  </si>
  <si>
    <t>Revestimento CBUQ faixa especial (ciclovia compartilhada) e=5cm</t>
  </si>
  <si>
    <t>Execução de base de brita graduada (ciclovia) e=15cm</t>
  </si>
  <si>
    <t>FORNEC/ASSENT. SARJETA C/ 02 PARALELEPÍPEDOS REJUNTADOS</t>
  </si>
  <si>
    <t>Implantação de rampa de travessia medindo 2,20x1,20x1,80m, com 3 placas de concreto 40x40x3cm (tátil de alerta), cor vermelha conforme detalhe de projeto</t>
  </si>
  <si>
    <t>Rampa de travessia em passeios estreitos</t>
  </si>
  <si>
    <t>Rampa em travessia de canteiro com acesso a estação tubo</t>
  </si>
  <si>
    <t xml:space="preserve">Travessia em canteiros divisores de pista </t>
  </si>
  <si>
    <t>Gradil padrão URBS</t>
  </si>
  <si>
    <t>Fornecimento/Plantio de grama em leivas c/ terra vegetal</t>
  </si>
  <si>
    <t xml:space="preserve">Fornecimento / plantio de mal-me-quer </t>
  </si>
  <si>
    <t>Lote 3</t>
  </si>
  <si>
    <t>Execução de base de brita graduada (Acessos Veículos) e=15cm</t>
  </si>
  <si>
    <t>Rampa de travessia em passeios estreitos conforme detalhe prancha 09 (1,50m x 5,10m)</t>
  </si>
  <si>
    <t>Travessia em canteiros divisores de pista</t>
  </si>
  <si>
    <t>Corte de árvores Ø0,20m até 0,40m, inclusive transporte</t>
  </si>
  <si>
    <t>Corte de árvores Ø0,40m até 0,60m, inclusive transporte</t>
  </si>
  <si>
    <t>Arrancamento de Barreira de concreto</t>
  </si>
  <si>
    <t>FRESAGEM DO PAVIMENTO COM VARREÇÃO E TRANSPORTE</t>
  </si>
  <si>
    <t>APICOAMENTO DE PISO CIMENTADO (OAE Existente)</t>
  </si>
  <si>
    <t>Execução de reforço com moledo compactado</t>
  </si>
  <si>
    <t>010219U</t>
  </si>
  <si>
    <t>010221U</t>
  </si>
  <si>
    <t>SMOP-6G</t>
  </si>
  <si>
    <t>ABAS PARA TUBO DE CONCRETO D=1,00M</t>
  </si>
  <si>
    <t>Comp17DRE</t>
  </si>
  <si>
    <t>COMP17dre</t>
  </si>
  <si>
    <t>ABAS PARA TUBO DE CONCRETO D=1,20M</t>
  </si>
  <si>
    <t>COMP18dre</t>
  </si>
  <si>
    <t>Comp18DRE</t>
  </si>
  <si>
    <t>ABAS PARA TUBO DE CONCRETO D=1,50M</t>
  </si>
  <si>
    <t>Comp19DRE</t>
  </si>
  <si>
    <t>COMP19dre</t>
  </si>
  <si>
    <t>ABAS PARA TUBO DE CONCRETO D=0,60M</t>
  </si>
  <si>
    <t>Comp20DRE</t>
  </si>
  <si>
    <t>COMP20dre</t>
  </si>
  <si>
    <t>Comp20dre</t>
  </si>
  <si>
    <t>Fornecimento/assentamento de blocos de concreto tipo "Paver" Cor Preta e=8cm</t>
  </si>
  <si>
    <t>Fornecimento e assentamento de tubo de concreto Ø 0,60m simples P.S.</t>
  </si>
  <si>
    <t>total 4f</t>
  </si>
  <si>
    <t>total 4g</t>
  </si>
  <si>
    <t>total 4h</t>
  </si>
  <si>
    <t>total 4i</t>
  </si>
  <si>
    <t>total 4j</t>
  </si>
  <si>
    <t>TOTAL 17.1</t>
  </si>
  <si>
    <t>total 17.1</t>
  </si>
  <si>
    <t>200204U</t>
  </si>
  <si>
    <t>Gradil</t>
  </si>
  <si>
    <t>PAI-40</t>
  </si>
  <si>
    <t>PAV-39</t>
  </si>
  <si>
    <t>CORTE DE PAVIMENTO ASFÁLTICO C/ COMPRESSOR E MARTELETE</t>
  </si>
  <si>
    <t>ARRANC. E CARGA DE CAPA ASFÁLTICA C/ ESCAVADEIRA</t>
  </si>
  <si>
    <t>PAV-68</t>
  </si>
  <si>
    <t>MICROREVESTIMENTO À FRIO COM POLÍMERO E=15 MM</t>
  </si>
  <si>
    <t>-</t>
  </si>
  <si>
    <t>AQUISIÇÃO E FORNECIMENTO DE AREIA RECICLADA</t>
  </si>
  <si>
    <t>AQUISIÇÃO E FORNECIMENTO DE BRITA RECICLADA</t>
  </si>
  <si>
    <t>CONCRETO FCK=10MPA CONTR RAZ USO GERAL CONF E LANÇ - COM MATERIAL RECICLADO</t>
  </si>
  <si>
    <t>E302</t>
  </si>
  <si>
    <t>BETONEIRA</t>
  </si>
  <si>
    <t>E304</t>
  </si>
  <si>
    <t>TRANSPORTADOR MANUAL - CARRINHO DE MÃO</t>
  </si>
  <si>
    <t>E306</t>
  </si>
  <si>
    <t>VIBRADOR DE CONCRETO - DE IMERSÃO</t>
  </si>
  <si>
    <t>E509</t>
  </si>
  <si>
    <t>GRUPO GERADOR</t>
  </si>
  <si>
    <t>CONCR ESTR FCK=15MPA CONTR RAZ USO GERAL CONF E LANÇ - COM MATERIAL RECICLADO</t>
  </si>
  <si>
    <t>GAP-42</t>
  </si>
  <si>
    <t>Arrancamento de tubulação existente Ø 1,00m</t>
  </si>
  <si>
    <t>Escavação e Carga de Material em Baixa resistência</t>
  </si>
  <si>
    <t>TER-3</t>
  </si>
  <si>
    <t>CARGA MECÂNICA DE MATERIAL EM CAMINHÃO</t>
  </si>
  <si>
    <t>Revestimento com CBUQ - faixa "C" - Recomposição</t>
  </si>
  <si>
    <t>Transp. mat. c/ caminhão basculante DMT 10001 a 15000m ( p/ Soliforte)</t>
  </si>
  <si>
    <t>Transp. mat. c/ caminhão basculante DMT 10001 a 15000m (p/ Soliforte)</t>
  </si>
  <si>
    <t>Comp4PAV</t>
  </si>
  <si>
    <t>COMP4PAV</t>
  </si>
  <si>
    <t>Comp5PAV</t>
  </si>
  <si>
    <t>COMP5PAV</t>
  </si>
  <si>
    <t>Transp. Material c/ caminhão basculante DMT 23000m</t>
  </si>
  <si>
    <t>Transp. mat. c/ caminhão basculante DMT 23900m (capa asf.)</t>
  </si>
  <si>
    <t>Carga mecânica de material em caminhão</t>
  </si>
  <si>
    <t>Taxa para recebimento de caliças pela usina de reciclagem</t>
  </si>
  <si>
    <t>Transp. mat. c/ caminhão basculante DMT 37700m (meio-fio p/ Soliforte)</t>
  </si>
  <si>
    <t>Transp. mat. c/ caminhão basculante DMT 11900m (camada granular)</t>
  </si>
  <si>
    <t>Transp. mat. c/ caminhão basculante DMT 37700m (barreira p/ Soliforte)</t>
  </si>
  <si>
    <t>Fornec/Assent de meio-fio extrusado padrão PMC com sarjeta</t>
  </si>
  <si>
    <t>Fornec/Assent de meio-fio extrusado padrão PMC sem sarjeta</t>
  </si>
  <si>
    <t>Transp. mat. c/ caminhão basculante DMT 37700m (demolição de concreto para Soliforte)</t>
  </si>
  <si>
    <t>TOTAL MATERIAIS 17</t>
  </si>
  <si>
    <t>Execução de base de brita graduada (acesso Veículos) e=15cm</t>
  </si>
  <si>
    <t>Revestimento com CBUQ - faixa "C" - Reperfilamento</t>
  </si>
  <si>
    <t>Revestimento com CBUQ - faixa "A" - Reperfilamento</t>
  </si>
  <si>
    <t>Revestimento com CBUQ - faixa "A"</t>
  </si>
  <si>
    <t>Demolição de Concreto Armado com Compressor (Caixas na pista)</t>
  </si>
  <si>
    <t>Aparelhos de apoio em neoprene fretado</t>
  </si>
  <si>
    <t>Dreno de PVC</t>
  </si>
</sst>
</file>

<file path=xl/styles.xml><?xml version="1.0" encoding="utf-8"?>
<styleSheet xmlns="http://schemas.openxmlformats.org/spreadsheetml/2006/main">
  <numFmts count="8">
    <numFmt numFmtId="41" formatCode="_(* #,##0_);_(* \(#,##0\);_(* &quot;-&quot;_);_(@_)"/>
    <numFmt numFmtId="43" formatCode="_(* #,##0.00_);_(* \(#,##0.00\);_(* &quot;-&quot;??_);_(@_)"/>
    <numFmt numFmtId="164" formatCode="_(* #,##0.0000_);_(* \(#,##0.0000\);_(* &quot;-&quot;??_);_(@_)"/>
    <numFmt numFmtId="165" formatCode="0.0%"/>
    <numFmt numFmtId="166" formatCode="0.00_);\(0.00\)"/>
    <numFmt numFmtId="167" formatCode="0.0000_);\(0.0000\)"/>
    <numFmt numFmtId="168" formatCode="_(&quot;Cr$&quot;* #,##0_);_(&quot;Cr$&quot;* \(#,##0\);_(&quot;Cr$&quot;* &quot;-&quot;_);_(@_)"/>
    <numFmt numFmtId="169" formatCode="000,000"/>
  </numFmts>
  <fonts count="55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b/>
      <sz val="16"/>
      <name val="Century Gothic"/>
      <family val="2"/>
    </font>
    <font>
      <sz val="13"/>
      <name val="Courier New"/>
      <family val="3"/>
    </font>
    <font>
      <b/>
      <sz val="13"/>
      <name val="Century Gothic"/>
      <family val="2"/>
    </font>
    <font>
      <b/>
      <sz val="12"/>
      <name val="Century Gothic"/>
      <family val="2"/>
    </font>
    <font>
      <sz val="12"/>
      <name val="Courier New"/>
      <family val="3"/>
    </font>
    <font>
      <sz val="12"/>
      <name val="Century Gothic"/>
      <family val="2"/>
    </font>
    <font>
      <sz val="12"/>
      <name val="Arial"/>
      <family val="2"/>
    </font>
    <font>
      <b/>
      <sz val="14"/>
      <name val="Century Gothic"/>
      <family val="2"/>
    </font>
    <font>
      <b/>
      <sz val="14"/>
      <name val="News Gothic MT"/>
      <family val="2"/>
    </font>
    <font>
      <sz val="13"/>
      <name val="Century Gothic"/>
      <family val="2"/>
    </font>
    <font>
      <b/>
      <sz val="14"/>
      <name val="Comic Sans MS"/>
      <family val="4"/>
    </font>
    <font>
      <b/>
      <sz val="15"/>
      <name val="Book Antiqua"/>
      <family val="1"/>
    </font>
    <font>
      <sz val="8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color indexed="10"/>
      <name val="Arial"/>
      <family val="2"/>
    </font>
    <font>
      <sz val="9"/>
      <name val="Arial"/>
      <family val="2"/>
    </font>
    <font>
      <b/>
      <sz val="13"/>
      <name val="Calibri"/>
      <family val="2"/>
    </font>
    <font>
      <b/>
      <sz val="20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sz val="11"/>
      <name val="Century Gothic"/>
      <family val="2"/>
    </font>
    <font>
      <b/>
      <sz val="7.8"/>
      <name val="Century Gothic"/>
      <family val="2"/>
    </font>
    <font>
      <sz val="10"/>
      <color indexed="10"/>
      <name val="Arial"/>
      <family val="2"/>
    </font>
    <font>
      <b/>
      <sz val="8"/>
      <color indexed="8"/>
      <name val="Arial"/>
      <family val="2"/>
    </font>
    <font>
      <sz val="7"/>
      <name val="Arial"/>
      <family val="2"/>
    </font>
    <font>
      <sz val="8"/>
      <color rgb="FF00B050"/>
      <name val="Arial"/>
      <family val="2"/>
    </font>
    <font>
      <sz val="8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5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41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5" fillId="7" borderId="1" applyNumberFormat="0" applyAlignment="0" applyProtection="0"/>
    <xf numFmtId="0" fontId="16" fillId="3" borderId="0" applyNumberFormat="0" applyBorder="0" applyAlignment="0" applyProtection="0"/>
    <xf numFmtId="0" fontId="17" fillId="22" borderId="0" applyNumberFormat="0" applyBorder="0" applyAlignment="0" applyProtection="0"/>
    <xf numFmtId="0" fontId="7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16" borderId="5" applyNumberFormat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43" fontId="7" fillId="0" borderId="0" applyFont="0" applyFill="0" applyBorder="0" applyAlignment="0" applyProtection="0"/>
  </cellStyleXfs>
  <cellXfs count="874">
    <xf numFmtId="0" fontId="0" fillId="0" borderId="0" xfId="0"/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4" fontId="5" fillId="0" borderId="10" xfId="0" applyNumberFormat="1" applyFont="1" applyBorder="1" applyAlignment="1">
      <alignment horizontal="center" vertical="center"/>
    </xf>
    <xf numFmtId="0" fontId="5" fillId="0" borderId="10" xfId="34" applyFont="1" applyFill="1" applyBorder="1" applyAlignment="1">
      <alignment horizontal="center" vertical="center"/>
    </xf>
    <xf numFmtId="0" fontId="5" fillId="0" borderId="10" xfId="34" applyFont="1" applyFill="1" applyBorder="1" applyAlignment="1">
      <alignment horizontal="left" vertical="center" wrapText="1"/>
    </xf>
    <xf numFmtId="0" fontId="4" fillId="0" borderId="10" xfId="34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vertical="center"/>
    </xf>
    <xf numFmtId="0" fontId="26" fillId="0" borderId="0" xfId="0" applyNumberFormat="1" applyFont="1" applyFill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/>
    <xf numFmtId="43" fontId="1" fillId="0" borderId="0" xfId="41" applyNumberFormat="1"/>
    <xf numFmtId="3" fontId="6" fillId="0" borderId="11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vertical="center"/>
    </xf>
    <xf numFmtId="43" fontId="6" fillId="0" borderId="13" xfId="41" applyNumberFormat="1" applyFont="1" applyBorder="1" applyAlignment="1">
      <alignment horizontal="left" vertical="center" indent="2"/>
    </xf>
    <xf numFmtId="43" fontId="6" fillId="0" borderId="14" xfId="41" applyFont="1" applyBorder="1" applyAlignment="1">
      <alignment vertical="center"/>
    </xf>
    <xf numFmtId="0" fontId="6" fillId="0" borderId="15" xfId="0" applyFont="1" applyBorder="1" applyAlignment="1">
      <alignment horizontal="center"/>
    </xf>
    <xf numFmtId="0" fontId="41" fillId="0" borderId="16" xfId="0" applyFont="1" applyBorder="1" applyAlignment="1">
      <alignment horizontal="center" vertical="center"/>
    </xf>
    <xf numFmtId="4" fontId="41" fillId="0" borderId="17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3" fontId="6" fillId="0" borderId="18" xfId="0" applyNumberFormat="1" applyFont="1" applyBorder="1" applyAlignment="1">
      <alignment horizontal="center" vertical="center"/>
    </xf>
    <xf numFmtId="3" fontId="6" fillId="0" borderId="19" xfId="0" applyNumberFormat="1" applyFont="1" applyBorder="1" applyAlignment="1">
      <alignment vertical="center"/>
    </xf>
    <xf numFmtId="43" fontId="6" fillId="0" borderId="19" xfId="41" applyNumberFormat="1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43" fontId="6" fillId="0" borderId="21" xfId="41" applyNumberFormat="1" applyFont="1" applyBorder="1" applyAlignment="1">
      <alignment vertical="center"/>
    </xf>
    <xf numFmtId="0" fontId="5" fillId="24" borderId="10" xfId="0" applyFont="1" applyFill="1" applyBorder="1" applyAlignment="1">
      <alignment horizontal="center" vertical="center"/>
    </xf>
    <xf numFmtId="0" fontId="5" fillId="24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4" xfId="0" applyFont="1" applyBorder="1"/>
    <xf numFmtId="0" fontId="7" fillId="0" borderId="0" xfId="0" applyFont="1"/>
    <xf numFmtId="49" fontId="31" fillId="0" borderId="25" xfId="0" applyNumberFormat="1" applyFont="1" applyFill="1" applyBorder="1" applyAlignment="1">
      <alignment horizontal="center" vertical="center"/>
    </xf>
    <xf numFmtId="49" fontId="31" fillId="0" borderId="26" xfId="0" applyNumberFormat="1" applyFont="1" applyFill="1" applyBorder="1" applyAlignment="1">
      <alignment horizontal="center" vertical="center"/>
    </xf>
    <xf numFmtId="49" fontId="31" fillId="0" borderId="27" xfId="0" applyNumberFormat="1" applyFont="1" applyFill="1" applyBorder="1" applyAlignment="1">
      <alignment horizontal="center" vertical="center"/>
    </xf>
    <xf numFmtId="0" fontId="32" fillId="0" borderId="28" xfId="0" applyNumberFormat="1" applyFont="1" applyFill="1" applyBorder="1" applyAlignment="1">
      <alignment horizontal="left" vertical="center"/>
    </xf>
    <xf numFmtId="0" fontId="32" fillId="0" borderId="26" xfId="0" applyNumberFormat="1" applyFont="1" applyFill="1" applyBorder="1" applyAlignment="1">
      <alignment horizontal="left" vertical="center"/>
    </xf>
    <xf numFmtId="0" fontId="32" fillId="0" borderId="27" xfId="0" applyNumberFormat="1" applyFont="1" applyFill="1" applyBorder="1" applyAlignment="1">
      <alignment horizontal="left" vertical="center"/>
    </xf>
    <xf numFmtId="166" fontId="32" fillId="0" borderId="28" xfId="0" applyNumberFormat="1" applyFont="1" applyFill="1" applyBorder="1" applyAlignment="1">
      <alignment horizontal="right" vertical="center"/>
    </xf>
    <xf numFmtId="166" fontId="32" fillId="0" borderId="26" xfId="0" applyNumberFormat="1" applyFont="1" applyFill="1" applyBorder="1" applyAlignment="1">
      <alignment horizontal="right" vertical="center"/>
    </xf>
    <xf numFmtId="39" fontId="32" fillId="0" borderId="28" xfId="0" applyNumberFormat="1" applyFont="1" applyFill="1" applyBorder="1" applyAlignment="1">
      <alignment horizontal="right" vertical="center"/>
    </xf>
    <xf numFmtId="39" fontId="32" fillId="0" borderId="26" xfId="0" applyNumberFormat="1" applyFont="1" applyFill="1" applyBorder="1" applyAlignment="1">
      <alignment horizontal="right" vertical="center"/>
    </xf>
    <xf numFmtId="43" fontId="4" fillId="0" borderId="10" xfId="42" applyFont="1" applyFill="1" applyBorder="1" applyAlignment="1">
      <alignment vertical="center"/>
    </xf>
    <xf numFmtId="39" fontId="32" fillId="0" borderId="29" xfId="0" applyNumberFormat="1" applyFont="1" applyFill="1" applyBorder="1" applyAlignment="1">
      <alignment horizontal="right" vertical="center"/>
    </xf>
    <xf numFmtId="166" fontId="32" fillId="0" borderId="27" xfId="0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4" fontId="5" fillId="0" borderId="10" xfId="42" applyNumberFormat="1" applyFont="1" applyFill="1" applyBorder="1" applyAlignment="1">
      <alignment horizontal="right" vertical="center" wrapText="1"/>
    </xf>
    <xf numFmtId="0" fontId="5" fillId="0" borderId="13" xfId="0" applyFont="1" applyBorder="1" applyAlignment="1">
      <alignment horizontal="center" vertical="center"/>
    </xf>
    <xf numFmtId="0" fontId="5" fillId="25" borderId="13" xfId="0" applyFont="1" applyFill="1" applyBorder="1" applyAlignment="1">
      <alignment horizontal="center" vertical="center"/>
    </xf>
    <xf numFmtId="3" fontId="5" fillId="25" borderId="13" xfId="0" applyNumberFormat="1" applyFont="1" applyFill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right"/>
    </xf>
    <xf numFmtId="0" fontId="40" fillId="0" borderId="0" xfId="0" applyFont="1" applyBorder="1" applyAlignment="1">
      <alignment horizontal="center" vertical="center"/>
    </xf>
    <xf numFmtId="43" fontId="40" fillId="0" borderId="0" xfId="41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vertical="center"/>
    </xf>
    <xf numFmtId="43" fontId="6" fillId="0" borderId="0" xfId="41" applyNumberFormat="1" applyFont="1" applyBorder="1" applyAlignment="1">
      <alignment horizontal="left" vertical="center" indent="2"/>
    </xf>
    <xf numFmtId="43" fontId="6" fillId="0" borderId="0" xfId="41" applyFont="1" applyBorder="1" applyAlignment="1">
      <alignment vertical="center"/>
    </xf>
    <xf numFmtId="43" fontId="41" fillId="0" borderId="0" xfId="41" applyFont="1" applyBorder="1" applyAlignment="1">
      <alignment vertical="center"/>
    </xf>
    <xf numFmtId="3" fontId="6" fillId="0" borderId="0" xfId="0" applyNumberFormat="1" applyFont="1" applyBorder="1" applyAlignment="1">
      <alignment horizontal="justify" vertical="center" wrapText="1"/>
    </xf>
    <xf numFmtId="43" fontId="6" fillId="0" borderId="0" xfId="41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32" xfId="0" applyFont="1" applyBorder="1" applyAlignment="1">
      <alignment horizontal="center"/>
    </xf>
    <xf numFmtId="0" fontId="41" fillId="0" borderId="32" xfId="0" applyFont="1" applyBorder="1" applyAlignment="1">
      <alignment horizontal="center" vertical="center"/>
    </xf>
    <xf numFmtId="43" fontId="6" fillId="0" borderId="32" xfId="41" applyNumberFormat="1" applyFont="1" applyBorder="1" applyAlignment="1">
      <alignment vertical="center"/>
    </xf>
    <xf numFmtId="4" fontId="41" fillId="0" borderId="32" xfId="0" applyNumberFormat="1" applyFont="1" applyBorder="1" applyAlignment="1">
      <alignment vertical="center"/>
    </xf>
    <xf numFmtId="0" fontId="4" fillId="0" borderId="33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5" fillId="0" borderId="37" xfId="0" applyFont="1" applyFill="1" applyBorder="1" applyAlignment="1">
      <alignment horizontal="left"/>
    </xf>
    <xf numFmtId="0" fontId="5" fillId="0" borderId="0" xfId="0" applyFont="1" applyFill="1"/>
    <xf numFmtId="0" fontId="5" fillId="0" borderId="38" xfId="0" applyFont="1" applyFill="1" applyBorder="1" applyAlignment="1">
      <alignment horizontal="center"/>
    </xf>
    <xf numFmtId="0" fontId="5" fillId="0" borderId="39" xfId="0" applyFont="1" applyFill="1" applyBorder="1"/>
    <xf numFmtId="0" fontId="5" fillId="0" borderId="40" xfId="0" applyFont="1" applyFill="1" applyBorder="1"/>
    <xf numFmtId="0" fontId="5" fillId="0" borderId="41" xfId="0" applyFont="1" applyFill="1" applyBorder="1"/>
    <xf numFmtId="0" fontId="5" fillId="0" borderId="42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35" xfId="0" applyFont="1" applyFill="1" applyBorder="1"/>
    <xf numFmtId="0" fontId="5" fillId="0" borderId="44" xfId="0" applyFont="1" applyFill="1" applyBorder="1" applyAlignment="1">
      <alignment horizontal="center"/>
    </xf>
    <xf numFmtId="0" fontId="47" fillId="0" borderId="36" xfId="0" applyFont="1" applyFill="1" applyBorder="1" applyAlignment="1">
      <alignment horizontal="left"/>
    </xf>
    <xf numFmtId="0" fontId="47" fillId="0" borderId="38" xfId="0" applyFont="1" applyFill="1" applyBorder="1"/>
    <xf numFmtId="0" fontId="47" fillId="0" borderId="34" xfId="0" applyFont="1" applyFill="1" applyBorder="1"/>
    <xf numFmtId="0" fontId="5" fillId="0" borderId="37" xfId="0" applyFont="1" applyFill="1" applyBorder="1"/>
    <xf numFmtId="0" fontId="5" fillId="0" borderId="34" xfId="0" applyFont="1" applyFill="1" applyBorder="1" applyAlignment="1">
      <alignment horizontal="center"/>
    </xf>
    <xf numFmtId="0" fontId="7" fillId="0" borderId="0" xfId="34" applyNumberFormat="1" applyFont="1" applyFill="1" applyAlignment="1">
      <alignment vertical="center"/>
    </xf>
    <xf numFmtId="4" fontId="5" fillId="24" borderId="10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" fontId="5" fillId="24" borderId="10" xfId="0" applyNumberFormat="1" applyFont="1" applyFill="1" applyBorder="1" applyAlignment="1">
      <alignment horizontal="right" vertical="center" wrapText="1"/>
    </xf>
    <xf numFmtId="4" fontId="5" fillId="0" borderId="10" xfId="0" applyNumberFormat="1" applyFont="1" applyFill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/>
    </xf>
    <xf numFmtId="4" fontId="5" fillId="24" borderId="10" xfId="42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right" vertical="center" wrapText="1"/>
    </xf>
    <xf numFmtId="4" fontId="4" fillId="24" borderId="10" xfId="42" applyNumberFormat="1" applyFont="1" applyFill="1" applyBorder="1" applyAlignment="1">
      <alignment horizontal="right" vertical="center"/>
    </xf>
    <xf numFmtId="4" fontId="7" fillId="0" borderId="0" xfId="34" applyNumberFormat="1" applyAlignment="1">
      <alignment vertical="center"/>
    </xf>
    <xf numFmtId="0" fontId="7" fillId="0" borderId="0" xfId="34" applyAlignment="1">
      <alignment vertical="center"/>
    </xf>
    <xf numFmtId="2" fontId="7" fillId="0" borderId="0" xfId="34" applyNumberFormat="1" applyAlignment="1">
      <alignment vertical="center"/>
    </xf>
    <xf numFmtId="4" fontId="6" fillId="0" borderId="0" xfId="34" applyNumberFormat="1" applyFont="1"/>
    <xf numFmtId="0" fontId="6" fillId="0" borderId="0" xfId="34" applyFont="1"/>
    <xf numFmtId="2" fontId="6" fillId="0" borderId="0" xfId="34" applyNumberFormat="1" applyFont="1"/>
    <xf numFmtId="4" fontId="6" fillId="0" borderId="0" xfId="34" applyNumberFormat="1" applyFont="1" applyFill="1" applyAlignment="1">
      <alignment vertical="center" wrapText="1"/>
    </xf>
    <xf numFmtId="0" fontId="6" fillId="0" borderId="0" xfId="34" applyFont="1" applyFill="1" applyBorder="1" applyAlignment="1">
      <alignment vertical="center" wrapText="1"/>
    </xf>
    <xf numFmtId="2" fontId="6" fillId="0" borderId="0" xfId="34" applyNumberFormat="1" applyFont="1" applyFill="1" applyBorder="1" applyAlignment="1">
      <alignment vertical="center" wrapText="1"/>
    </xf>
    <xf numFmtId="0" fontId="6" fillId="0" borderId="0" xfId="34" applyFont="1" applyFill="1" applyAlignment="1">
      <alignment vertical="center" wrapText="1"/>
    </xf>
    <xf numFmtId="4" fontId="5" fillId="0" borderId="0" xfId="34" applyNumberFormat="1" applyFont="1" applyFill="1" applyAlignment="1">
      <alignment vertical="center" wrapText="1"/>
    </xf>
    <xf numFmtId="0" fontId="5" fillId="0" borderId="0" xfId="34" applyFont="1" applyFill="1" applyBorder="1" applyAlignment="1">
      <alignment vertical="center" wrapText="1"/>
    </xf>
    <xf numFmtId="2" fontId="5" fillId="0" borderId="0" xfId="34" applyNumberFormat="1" applyFont="1" applyFill="1" applyBorder="1" applyAlignment="1">
      <alignment vertical="center" wrapText="1"/>
    </xf>
    <xf numFmtId="0" fontId="5" fillId="0" borderId="0" xfId="34" applyFont="1" applyFill="1" applyAlignment="1">
      <alignment vertical="center" wrapText="1"/>
    </xf>
    <xf numFmtId="4" fontId="42" fillId="0" borderId="0" xfId="34" applyNumberFormat="1" applyFont="1" applyFill="1" applyAlignment="1">
      <alignment vertical="center" wrapText="1"/>
    </xf>
    <xf numFmtId="0" fontId="42" fillId="0" borderId="0" xfId="34" applyFont="1" applyFill="1" applyBorder="1" applyAlignment="1">
      <alignment vertical="center" wrapText="1"/>
    </xf>
    <xf numFmtId="2" fontId="42" fillId="0" borderId="0" xfId="34" applyNumberFormat="1" applyFont="1" applyFill="1" applyBorder="1" applyAlignment="1">
      <alignment vertical="center" wrapText="1"/>
    </xf>
    <xf numFmtId="0" fontId="42" fillId="0" borderId="0" xfId="34" applyFont="1" applyFill="1" applyAlignment="1">
      <alignment vertical="center" wrapText="1"/>
    </xf>
    <xf numFmtId="4" fontId="6" fillId="0" borderId="0" xfId="34" applyNumberFormat="1" applyFont="1" applyFill="1" applyBorder="1"/>
    <xf numFmtId="0" fontId="7" fillId="0" borderId="0" xfId="34" applyFont="1" applyFill="1" applyBorder="1" applyAlignment="1">
      <alignment vertical="center"/>
    </xf>
    <xf numFmtId="2" fontId="7" fillId="0" borderId="0" xfId="34" applyNumberFormat="1" applyFont="1" applyFill="1" applyBorder="1" applyAlignment="1">
      <alignment vertical="center"/>
    </xf>
    <xf numFmtId="0" fontId="7" fillId="0" borderId="0" xfId="34" applyFill="1" applyBorder="1" applyAlignment="1">
      <alignment vertical="center"/>
    </xf>
    <xf numFmtId="0" fontId="7" fillId="0" borderId="0" xfId="34" applyFill="1" applyAlignment="1">
      <alignment vertical="center"/>
    </xf>
    <xf numFmtId="0" fontId="7" fillId="0" borderId="0" xfId="34"/>
    <xf numFmtId="2" fontId="7" fillId="0" borderId="0" xfId="34" applyNumberFormat="1"/>
    <xf numFmtId="4" fontId="6" fillId="0" borderId="0" xfId="34" applyNumberFormat="1" applyFont="1" applyFill="1" applyAlignment="1">
      <alignment vertical="center"/>
    </xf>
    <xf numFmtId="4" fontId="7" fillId="0" borderId="0" xfId="34" applyNumberFormat="1"/>
    <xf numFmtId="0" fontId="50" fillId="0" borderId="0" xfId="34" applyFont="1"/>
    <xf numFmtId="2" fontId="50" fillId="0" borderId="0" xfId="34" applyNumberFormat="1" applyFont="1"/>
    <xf numFmtId="4" fontId="50" fillId="0" borderId="0" xfId="34" applyNumberFormat="1" applyFont="1"/>
    <xf numFmtId="0" fontId="41" fillId="0" borderId="0" xfId="34" applyFont="1" applyFill="1" applyBorder="1" applyAlignment="1">
      <alignment vertical="center" wrapText="1"/>
    </xf>
    <xf numFmtId="2" fontId="41" fillId="0" borderId="0" xfId="34" applyNumberFormat="1" applyFont="1" applyFill="1" applyBorder="1" applyAlignment="1">
      <alignment vertical="center" wrapText="1"/>
    </xf>
    <xf numFmtId="0" fontId="41" fillId="0" borderId="0" xfId="34" applyFont="1" applyFill="1" applyAlignment="1">
      <alignment vertical="center" wrapText="1"/>
    </xf>
    <xf numFmtId="3" fontId="6" fillId="24" borderId="0" xfId="34" applyNumberFormat="1" applyFont="1" applyFill="1" applyAlignment="1">
      <alignment horizontal="center"/>
    </xf>
    <xf numFmtId="0" fontId="6" fillId="24" borderId="0" xfId="34" applyFont="1" applyFill="1"/>
    <xf numFmtId="0" fontId="6" fillId="0" borderId="0" xfId="34" applyFont="1" applyFill="1"/>
    <xf numFmtId="0" fontId="6" fillId="0" borderId="0" xfId="34" applyFont="1" applyFill="1" applyAlignment="1">
      <alignment horizontal="right"/>
    </xf>
    <xf numFmtId="4" fontId="6" fillId="0" borderId="0" xfId="34" applyNumberFormat="1" applyFont="1" applyFill="1"/>
    <xf numFmtId="4" fontId="6" fillId="24" borderId="0" xfId="34" applyNumberFormat="1" applyFont="1" applyFill="1"/>
    <xf numFmtId="4" fontId="4" fillId="0" borderId="10" xfId="34" applyNumberFormat="1" applyFont="1" applyFill="1" applyBorder="1" applyAlignment="1">
      <alignment horizontal="center" vertical="center"/>
    </xf>
    <xf numFmtId="4" fontId="4" fillId="24" borderId="10" xfId="34" applyNumberFormat="1" applyFont="1" applyFill="1" applyBorder="1" applyAlignment="1">
      <alignment horizontal="center" vertical="center"/>
    </xf>
    <xf numFmtId="3" fontId="4" fillId="24" borderId="10" xfId="34" applyNumberFormat="1" applyFont="1" applyFill="1" applyBorder="1" applyAlignment="1">
      <alignment horizontal="center" vertical="center"/>
    </xf>
    <xf numFmtId="0" fontId="4" fillId="24" borderId="10" xfId="34" applyFont="1" applyFill="1" applyBorder="1" applyAlignment="1">
      <alignment horizontal="left" vertical="center"/>
    </xf>
    <xf numFmtId="0" fontId="4" fillId="24" borderId="10" xfId="34" applyFont="1" applyFill="1" applyBorder="1" applyAlignment="1">
      <alignment horizontal="center" vertical="center"/>
    </xf>
    <xf numFmtId="3" fontId="4" fillId="24" borderId="10" xfId="34" applyNumberFormat="1" applyFont="1" applyFill="1" applyBorder="1" applyAlignment="1">
      <alignment horizontal="center" vertical="center" wrapText="1"/>
    </xf>
    <xf numFmtId="4" fontId="4" fillId="0" borderId="10" xfId="34" applyNumberFormat="1" applyFont="1" applyFill="1" applyBorder="1" applyAlignment="1">
      <alignment horizontal="right" vertical="center"/>
    </xf>
    <xf numFmtId="0" fontId="4" fillId="24" borderId="10" xfId="34" applyFont="1" applyFill="1" applyBorder="1" applyAlignment="1">
      <alignment vertical="center" wrapText="1"/>
    </xf>
    <xf numFmtId="0" fontId="5" fillId="0" borderId="10" xfId="34" applyFont="1" applyFill="1" applyBorder="1" applyAlignment="1">
      <alignment horizontal="center" vertical="center" wrapText="1"/>
    </xf>
    <xf numFmtId="3" fontId="5" fillId="24" borderId="10" xfId="34" applyNumberFormat="1" applyFont="1" applyFill="1" applyBorder="1" applyAlignment="1">
      <alignment horizontal="center" vertical="center" wrapText="1"/>
    </xf>
    <xf numFmtId="0" fontId="5" fillId="24" borderId="10" xfId="34" applyFont="1" applyFill="1" applyBorder="1" applyAlignment="1">
      <alignment vertical="center" wrapText="1"/>
    </xf>
    <xf numFmtId="4" fontId="5" fillId="0" borderId="10" xfId="34" applyNumberFormat="1" applyFont="1" applyFill="1" applyBorder="1" applyAlignment="1">
      <alignment horizontal="right" vertical="center" wrapText="1"/>
    </xf>
    <xf numFmtId="4" fontId="5" fillId="0" borderId="10" xfId="34" applyNumberFormat="1" applyFont="1" applyFill="1" applyBorder="1" applyAlignment="1">
      <alignment horizontal="right" vertical="center"/>
    </xf>
    <xf numFmtId="3" fontId="5" fillId="24" borderId="10" xfId="34" applyNumberFormat="1" applyFont="1" applyFill="1" applyBorder="1" applyAlignment="1">
      <alignment horizontal="center" vertical="center"/>
    </xf>
    <xf numFmtId="4" fontId="5" fillId="0" borderId="10" xfId="34" applyNumberFormat="1" applyFont="1" applyFill="1" applyBorder="1" applyAlignment="1">
      <alignment vertical="center"/>
    </xf>
    <xf numFmtId="4" fontId="5" fillId="0" borderId="10" xfId="34" applyNumberFormat="1" applyFont="1" applyFill="1" applyBorder="1" applyAlignment="1">
      <alignment vertical="center" wrapText="1"/>
    </xf>
    <xf numFmtId="0" fontId="4" fillId="0" borderId="10" xfId="34" applyNumberFormat="1" applyFont="1" applyFill="1" applyBorder="1" applyAlignment="1">
      <alignment horizontal="center" vertical="center" wrapText="1"/>
    </xf>
    <xf numFmtId="0" fontId="4" fillId="0" borderId="10" xfId="34" applyFont="1" applyFill="1" applyBorder="1" applyAlignment="1">
      <alignment horizontal="right" vertical="center" wrapText="1"/>
    </xf>
    <xf numFmtId="4" fontId="4" fillId="0" borderId="10" xfId="34" applyNumberFormat="1" applyFont="1" applyFill="1" applyBorder="1" applyAlignment="1">
      <alignment vertical="center" wrapText="1"/>
    </xf>
    <xf numFmtId="3" fontId="4" fillId="24" borderId="45" xfId="34" applyNumberFormat="1" applyFont="1" applyFill="1" applyBorder="1" applyAlignment="1">
      <alignment horizontal="center" vertical="center" wrapText="1"/>
    </xf>
    <xf numFmtId="0" fontId="4" fillId="24" borderId="45" xfId="34" applyFont="1" applyFill="1" applyBorder="1" applyAlignment="1">
      <alignment horizontal="left" vertical="center"/>
    </xf>
    <xf numFmtId="4" fontId="4" fillId="24" borderId="45" xfId="34" applyNumberFormat="1" applyFont="1" applyFill="1" applyBorder="1" applyAlignment="1">
      <alignment horizontal="center" vertical="center"/>
    </xf>
    <xf numFmtId="3" fontId="4" fillId="24" borderId="46" xfId="34" applyNumberFormat="1" applyFont="1" applyFill="1" applyBorder="1" applyAlignment="1">
      <alignment horizontal="center" vertical="center"/>
    </xf>
    <xf numFmtId="0" fontId="4" fillId="24" borderId="46" xfId="34" applyFont="1" applyFill="1" applyBorder="1" applyAlignment="1">
      <alignment horizontal="left" vertical="center"/>
    </xf>
    <xf numFmtId="0" fontId="4" fillId="0" borderId="46" xfId="34" applyFont="1" applyFill="1" applyBorder="1" applyAlignment="1">
      <alignment horizontal="center" vertical="center"/>
    </xf>
    <xf numFmtId="4" fontId="4" fillId="0" borderId="46" xfId="34" applyNumberFormat="1" applyFont="1" applyFill="1" applyBorder="1" applyAlignment="1">
      <alignment horizontal="center" vertical="center"/>
    </xf>
    <xf numFmtId="4" fontId="4" fillId="24" borderId="46" xfId="34" applyNumberFormat="1" applyFont="1" applyFill="1" applyBorder="1" applyAlignment="1">
      <alignment horizontal="center" vertical="center"/>
    </xf>
    <xf numFmtId="0" fontId="4" fillId="0" borderId="47" xfId="34" applyFont="1" applyFill="1" applyBorder="1" applyAlignment="1">
      <alignment horizontal="center" vertical="center"/>
    </xf>
    <xf numFmtId="4" fontId="4" fillId="0" borderId="48" xfId="34" applyNumberFormat="1" applyFont="1" applyFill="1" applyBorder="1" applyAlignment="1">
      <alignment horizontal="right" vertical="center"/>
    </xf>
    <xf numFmtId="4" fontId="4" fillId="0" borderId="48" xfId="34" applyNumberFormat="1" applyFont="1" applyFill="1" applyBorder="1" applyAlignment="1">
      <alignment horizontal="center" vertical="center" wrapText="1"/>
    </xf>
    <xf numFmtId="4" fontId="4" fillId="0" borderId="48" xfId="34" applyNumberFormat="1" applyFont="1" applyFill="1" applyBorder="1" applyAlignment="1">
      <alignment horizontal="center" vertical="center"/>
    </xf>
    <xf numFmtId="4" fontId="4" fillId="0" borderId="49" xfId="34" applyNumberFormat="1" applyFont="1" applyFill="1" applyBorder="1" applyAlignment="1">
      <alignment horizontal="center" vertical="center"/>
    </xf>
    <xf numFmtId="0" fontId="5" fillId="27" borderId="10" xfId="0" applyFont="1" applyFill="1" applyBorder="1" applyAlignment="1">
      <alignment horizontal="center" vertical="center"/>
    </xf>
    <xf numFmtId="1" fontId="5" fillId="0" borderId="10" xfId="0" applyNumberFormat="1" applyFont="1" applyFill="1" applyBorder="1" applyAlignment="1">
      <alignment horizontal="right" vertical="center" wrapText="1"/>
    </xf>
    <xf numFmtId="0" fontId="5" fillId="0" borderId="10" xfId="0" applyNumberFormat="1" applyFont="1" applyFill="1" applyBorder="1" applyAlignment="1">
      <alignment horizontal="right" vertical="center" wrapText="1"/>
    </xf>
    <xf numFmtId="4" fontId="5" fillId="0" borderId="10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3" fillId="0" borderId="10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 wrapText="1"/>
    </xf>
    <xf numFmtId="4" fontId="5" fillId="27" borderId="10" xfId="0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/>
    </xf>
    <xf numFmtId="43" fontId="4" fillId="0" borderId="50" xfId="44" applyFont="1" applyFill="1" applyBorder="1" applyAlignment="1">
      <alignment horizontal="center" vertical="center"/>
    </xf>
    <xf numFmtId="17" fontId="4" fillId="0" borderId="50" xfId="44" applyNumberFormat="1" applyFont="1" applyFill="1" applyBorder="1" applyAlignment="1">
      <alignment horizontal="center"/>
    </xf>
    <xf numFmtId="43" fontId="4" fillId="0" borderId="51" xfId="44" applyFont="1" applyFill="1" applyBorder="1" applyAlignment="1">
      <alignment horizontal="center"/>
    </xf>
    <xf numFmtId="43" fontId="4" fillId="0" borderId="35" xfId="44" applyFont="1" applyFill="1" applyBorder="1" applyAlignment="1">
      <alignment horizontal="center"/>
    </xf>
    <xf numFmtId="43" fontId="4" fillId="0" borderId="52" xfId="44" applyFont="1" applyFill="1" applyBorder="1" applyAlignment="1">
      <alignment horizontal="center"/>
    </xf>
    <xf numFmtId="43" fontId="5" fillId="0" borderId="39" xfId="44" applyFont="1" applyFill="1" applyBorder="1"/>
    <xf numFmtId="43" fontId="5" fillId="0" borderId="53" xfId="44" applyNumberFormat="1" applyFont="1" applyFill="1" applyBorder="1"/>
    <xf numFmtId="43" fontId="5" fillId="0" borderId="37" xfId="44" applyFont="1" applyFill="1" applyBorder="1" applyAlignment="1">
      <alignment horizontal="center"/>
    </xf>
    <xf numFmtId="43" fontId="5" fillId="0" borderId="41" xfId="44" applyFont="1" applyFill="1" applyBorder="1"/>
    <xf numFmtId="164" fontId="5" fillId="0" borderId="53" xfId="44" applyNumberFormat="1" applyFont="1" applyFill="1" applyBorder="1"/>
    <xf numFmtId="43" fontId="5" fillId="0" borderId="54" xfId="44" applyFont="1" applyFill="1" applyBorder="1"/>
    <xf numFmtId="43" fontId="5" fillId="0" borderId="53" xfId="44" applyFont="1" applyFill="1" applyBorder="1"/>
    <xf numFmtId="43" fontId="5" fillId="0" borderId="55" xfId="44" applyFont="1" applyFill="1" applyBorder="1"/>
    <xf numFmtId="43" fontId="5" fillId="0" borderId="35" xfId="44" applyFont="1" applyFill="1" applyBorder="1"/>
    <xf numFmtId="165" fontId="4" fillId="0" borderId="56" xfId="38" applyNumberFormat="1" applyFont="1" applyFill="1" applyBorder="1" applyAlignment="1">
      <alignment horizontal="right"/>
    </xf>
    <xf numFmtId="43" fontId="5" fillId="0" borderId="57" xfId="44" applyFont="1" applyFill="1" applyBorder="1"/>
    <xf numFmtId="43" fontId="4" fillId="0" borderId="53" xfId="44" applyFont="1" applyFill="1" applyBorder="1"/>
    <xf numFmtId="43" fontId="4" fillId="0" borderId="52" xfId="44" applyFont="1" applyFill="1" applyBorder="1"/>
    <xf numFmtId="43" fontId="5" fillId="0" borderId="37" xfId="44" applyFont="1" applyFill="1" applyBorder="1"/>
    <xf numFmtId="43" fontId="5" fillId="0" borderId="52" xfId="44" applyFont="1" applyFill="1" applyBorder="1"/>
    <xf numFmtId="43" fontId="5" fillId="0" borderId="0" xfId="44" applyFont="1" applyFill="1"/>
    <xf numFmtId="0" fontId="7" fillId="0" borderId="0" xfId="0" quotePrefix="1" applyNumberFormat="1" applyFont="1" applyFill="1" applyAlignment="1">
      <alignment vertical="center"/>
    </xf>
    <xf numFmtId="3" fontId="6" fillId="0" borderId="11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vertical="center"/>
    </xf>
    <xf numFmtId="43" fontId="6" fillId="0" borderId="13" xfId="41" applyNumberFormat="1" applyFont="1" applyFill="1" applyBorder="1" applyAlignment="1">
      <alignment horizontal="left" vertical="center" indent="2"/>
    </xf>
    <xf numFmtId="43" fontId="6" fillId="0" borderId="14" xfId="41" applyFont="1" applyFill="1" applyBorder="1" applyAlignment="1">
      <alignment vertical="center"/>
    </xf>
    <xf numFmtId="0" fontId="5" fillId="0" borderId="10" xfId="0" applyNumberFormat="1" applyFont="1" applyFill="1" applyBorder="1" applyAlignment="1">
      <alignment horizontal="center" vertical="center" wrapText="1"/>
    </xf>
    <xf numFmtId="4" fontId="5" fillId="0" borderId="10" xfId="53" applyNumberFormat="1" applyFont="1" applyFill="1" applyBorder="1" applyAlignment="1">
      <alignment horizontal="right" vertical="center"/>
    </xf>
    <xf numFmtId="4" fontId="5" fillId="0" borderId="10" xfId="41" applyNumberFormat="1" applyFont="1" applyFill="1" applyBorder="1" applyAlignment="1" applyProtection="1">
      <alignment horizontal="right" vertical="center"/>
      <protection locked="0"/>
    </xf>
    <xf numFmtId="4" fontId="5" fillId="0" borderId="10" xfId="41" applyNumberFormat="1" applyFont="1" applyFill="1" applyBorder="1" applyAlignment="1">
      <alignment horizontal="right" vertical="center" wrapText="1"/>
    </xf>
    <xf numFmtId="0" fontId="54" fillId="0" borderId="10" xfId="34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51" fillId="0" borderId="13" xfId="0" applyNumberFormat="1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4" fontId="39" fillId="0" borderId="10" xfId="0" applyNumberFormat="1" applyFont="1" applyBorder="1" applyAlignment="1">
      <alignment horizontal="right" vertical="center"/>
    </xf>
    <xf numFmtId="49" fontId="39" fillId="0" borderId="13" xfId="0" applyNumberFormat="1" applyFont="1" applyBorder="1" applyAlignment="1">
      <alignment horizontal="center" vertical="center"/>
    </xf>
    <xf numFmtId="14" fontId="39" fillId="0" borderId="13" xfId="0" applyNumberFormat="1" applyFont="1" applyBorder="1" applyAlignment="1">
      <alignment horizontal="center" vertical="center"/>
    </xf>
    <xf numFmtId="3" fontId="39" fillId="0" borderId="13" xfId="0" applyNumberFormat="1" applyFont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39" fillId="0" borderId="13" xfId="0" applyFont="1" applyBorder="1" applyAlignment="1">
      <alignment horizontal="center" vertical="center"/>
    </xf>
    <xf numFmtId="4" fontId="5" fillId="0" borderId="0" xfId="0" applyNumberFormat="1" applyFont="1" applyAlignment="1">
      <alignment vertical="center"/>
    </xf>
    <xf numFmtId="43" fontId="5" fillId="0" borderId="0" xfId="0" applyNumberFormat="1" applyFont="1" applyFill="1" applyAlignment="1">
      <alignment vertical="center"/>
    </xf>
    <xf numFmtId="4" fontId="5" fillId="0" borderId="0" xfId="0" applyNumberFormat="1" applyFont="1" applyFill="1" applyAlignment="1">
      <alignment vertical="center"/>
    </xf>
    <xf numFmtId="0" fontId="5" fillId="29" borderId="0" xfId="0" applyFont="1" applyFill="1" applyAlignment="1">
      <alignment vertical="center"/>
    </xf>
    <xf numFmtId="0" fontId="5" fillId="0" borderId="13" xfId="0" applyFont="1" applyBorder="1" applyAlignment="1">
      <alignment vertical="center"/>
    </xf>
    <xf numFmtId="0" fontId="39" fillId="0" borderId="13" xfId="0" applyNumberFormat="1" applyFont="1" applyBorder="1" applyAlignment="1">
      <alignment horizontal="center" vertical="center"/>
    </xf>
    <xf numFmtId="4" fontId="39" fillId="0" borderId="10" xfId="0" applyNumberFormat="1" applyFont="1" applyFill="1" applyBorder="1" applyAlignment="1">
      <alignment horizontal="right" vertical="center"/>
    </xf>
    <xf numFmtId="4" fontId="5" fillId="24" borderId="10" xfId="0" applyNumberFormat="1" applyFont="1" applyFill="1" applyBorder="1" applyAlignment="1">
      <alignment horizontal="center" vertical="center"/>
    </xf>
    <xf numFmtId="0" fontId="5" fillId="25" borderId="13" xfId="0" applyFont="1" applyFill="1" applyBorder="1" applyAlignment="1">
      <alignment vertical="center"/>
    </xf>
    <xf numFmtId="0" fontId="54" fillId="0" borderId="10" xfId="0" applyFont="1" applyFill="1" applyBorder="1" applyAlignment="1">
      <alignment horizontal="center" vertical="center" wrapText="1"/>
    </xf>
    <xf numFmtId="0" fontId="54" fillId="24" borderId="10" xfId="0" applyFont="1" applyFill="1" applyBorder="1" applyAlignment="1">
      <alignment horizontal="center" vertical="center" wrapText="1"/>
    </xf>
    <xf numFmtId="4" fontId="54" fillId="0" borderId="10" xfId="0" applyNumberFormat="1" applyFont="1" applyFill="1" applyBorder="1" applyAlignment="1">
      <alignment horizontal="right" vertical="center"/>
    </xf>
    <xf numFmtId="0" fontId="4" fillId="27" borderId="10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1" fontId="5" fillId="0" borderId="58" xfId="0" applyNumberFormat="1" applyFont="1" applyFill="1" applyBorder="1" applyAlignment="1">
      <alignment horizontal="right" vertical="center" wrapText="1"/>
    </xf>
    <xf numFmtId="0" fontId="42" fillId="0" borderId="10" xfId="0" applyFont="1" applyFill="1" applyBorder="1" applyAlignment="1">
      <alignment horizontal="right" vertical="center"/>
    </xf>
    <xf numFmtId="0" fontId="5" fillId="0" borderId="58" xfId="0" applyFont="1" applyFill="1" applyBorder="1" applyAlignment="1">
      <alignment horizontal="right" vertical="center" wrapText="1"/>
    </xf>
    <xf numFmtId="0" fontId="54" fillId="0" borderId="10" xfId="0" applyFont="1" applyFill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 wrapText="1"/>
    </xf>
    <xf numFmtId="3" fontId="5" fillId="0" borderId="10" xfId="0" applyNumberFormat="1" applyFont="1" applyFill="1" applyBorder="1" applyAlignment="1">
      <alignment horizontal="right" vertical="center"/>
    </xf>
    <xf numFmtId="169" fontId="5" fillId="0" borderId="10" xfId="0" applyNumberFormat="1" applyFont="1" applyFill="1" applyBorder="1" applyAlignment="1">
      <alignment horizontal="right" vertical="center" wrapText="1"/>
    </xf>
    <xf numFmtId="0" fontId="5" fillId="0" borderId="84" xfId="0" applyFont="1" applyFill="1" applyBorder="1" applyAlignment="1">
      <alignment horizontal="right" vertical="center"/>
    </xf>
    <xf numFmtId="0" fontId="39" fillId="0" borderId="10" xfId="0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horizontal="right" vertical="center"/>
    </xf>
    <xf numFmtId="0" fontId="52" fillId="0" borderId="10" xfId="0" applyFont="1" applyFill="1" applyBorder="1" applyAlignment="1">
      <alignment horizontal="right" vertical="center"/>
    </xf>
    <xf numFmtId="3" fontId="4" fillId="27" borderId="1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1" fontId="54" fillId="0" borderId="58" xfId="0" applyNumberFormat="1" applyFont="1" applyFill="1" applyBorder="1" applyAlignment="1">
      <alignment horizontal="right" vertical="center" wrapText="1"/>
    </xf>
    <xf numFmtId="0" fontId="54" fillId="0" borderId="10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justify" vertical="justify" wrapText="1"/>
    </xf>
    <xf numFmtId="0" fontId="5" fillId="0" borderId="10" xfId="0" applyFont="1" applyBorder="1" applyAlignment="1">
      <alignment horizontal="justify" vertical="justify" wrapText="1"/>
    </xf>
    <xf numFmtId="0" fontId="4" fillId="27" borderId="10" xfId="0" applyFont="1" applyFill="1" applyBorder="1" applyAlignment="1">
      <alignment horizontal="justify" vertical="justify" wrapText="1"/>
    </xf>
    <xf numFmtId="0" fontId="4" fillId="0" borderId="0" xfId="0" applyFont="1" applyBorder="1" applyAlignment="1">
      <alignment horizontal="justify" vertical="justify"/>
    </xf>
    <xf numFmtId="0" fontId="4" fillId="0" borderId="10" xfId="0" applyFont="1" applyBorder="1" applyAlignment="1">
      <alignment horizontal="justify" vertical="justify"/>
    </xf>
    <xf numFmtId="0" fontId="5" fillId="0" borderId="10" xfId="0" applyFont="1" applyBorder="1" applyAlignment="1">
      <alignment horizontal="justify" vertical="justify"/>
    </xf>
    <xf numFmtId="0" fontId="5" fillId="24" borderId="10" xfId="0" applyFont="1" applyFill="1" applyBorder="1" applyAlignment="1">
      <alignment horizontal="justify" vertical="justify" wrapText="1"/>
    </xf>
    <xf numFmtId="0" fontId="5" fillId="0" borderId="0" xfId="0" applyFont="1" applyBorder="1" applyAlignment="1">
      <alignment horizontal="justify" vertical="justify" wrapText="1"/>
    </xf>
    <xf numFmtId="0" fontId="4" fillId="24" borderId="10" xfId="0" applyFont="1" applyFill="1" applyBorder="1" applyAlignment="1">
      <alignment horizontal="justify" vertical="justify" wrapText="1"/>
    </xf>
    <xf numFmtId="0" fontId="5" fillId="0" borderId="58" xfId="0" applyFont="1" applyFill="1" applyBorder="1" applyAlignment="1">
      <alignment horizontal="justify" vertical="justify" wrapText="1"/>
    </xf>
    <xf numFmtId="43" fontId="5" fillId="0" borderId="10" xfId="42" applyFont="1" applyFill="1" applyBorder="1" applyAlignment="1">
      <alignment horizontal="justify" vertical="justify"/>
    </xf>
    <xf numFmtId="0" fontId="4" fillId="0" borderId="10" xfId="0" applyFont="1" applyFill="1" applyBorder="1" applyAlignment="1">
      <alignment horizontal="justify" vertical="justify" wrapText="1"/>
    </xf>
    <xf numFmtId="0" fontId="54" fillId="24" borderId="10" xfId="0" applyFont="1" applyFill="1" applyBorder="1" applyAlignment="1">
      <alignment horizontal="justify" vertical="justify" wrapText="1"/>
    </xf>
    <xf numFmtId="0" fontId="8" fillId="0" borderId="10" xfId="34" applyFont="1" applyFill="1" applyBorder="1" applyAlignment="1">
      <alignment horizontal="justify" vertical="justify" wrapText="1"/>
    </xf>
    <xf numFmtId="0" fontId="4" fillId="0" borderId="10" xfId="34" applyFont="1" applyFill="1" applyBorder="1" applyAlignment="1">
      <alignment horizontal="justify" vertical="justify" wrapText="1"/>
    </xf>
    <xf numFmtId="0" fontId="5" fillId="0" borderId="10" xfId="34" applyFont="1" applyFill="1" applyBorder="1" applyAlignment="1">
      <alignment horizontal="justify" vertical="justify" wrapText="1"/>
    </xf>
    <xf numFmtId="43" fontId="54" fillId="0" borderId="10" xfId="42" applyFont="1" applyFill="1" applyBorder="1" applyAlignment="1">
      <alignment horizontal="justify" vertical="justify"/>
    </xf>
    <xf numFmtId="0" fontId="54" fillId="0" borderId="10" xfId="34" applyFont="1" applyFill="1" applyBorder="1" applyAlignment="1">
      <alignment horizontal="justify" vertical="justify" wrapText="1"/>
    </xf>
    <xf numFmtId="43" fontId="4" fillId="0" borderId="10" xfId="42" applyFont="1" applyFill="1" applyBorder="1" applyAlignment="1">
      <alignment horizontal="justify" vertical="justify"/>
    </xf>
    <xf numFmtId="0" fontId="5" fillId="0" borderId="10" xfId="0" applyFont="1" applyFill="1" applyBorder="1" applyAlignment="1">
      <alignment horizontal="justify" vertical="justify"/>
    </xf>
    <xf numFmtId="4" fontId="5" fillId="0" borderId="10" xfId="0" applyNumberFormat="1" applyFont="1" applyFill="1" applyBorder="1" applyAlignment="1">
      <alignment horizontal="justify" vertical="justify" wrapText="1"/>
    </xf>
    <xf numFmtId="0" fontId="54" fillId="0" borderId="10" xfId="0" applyFont="1" applyFill="1" applyBorder="1" applyAlignment="1">
      <alignment horizontal="justify" vertical="justify" wrapText="1"/>
    </xf>
    <xf numFmtId="0" fontId="5" fillId="24" borderId="10" xfId="0" applyFont="1" applyFill="1" applyBorder="1" applyAlignment="1">
      <alignment horizontal="justify" vertical="justify"/>
    </xf>
    <xf numFmtId="0" fontId="4" fillId="0" borderId="10" xfId="0" applyFont="1" applyFill="1" applyBorder="1" applyAlignment="1" applyProtection="1">
      <alignment horizontal="justify" vertical="justify"/>
    </xf>
    <xf numFmtId="0" fontId="4" fillId="0" borderId="10" xfId="0" applyFont="1" applyBorder="1" applyAlignment="1">
      <alignment horizontal="justify" vertical="justify" wrapText="1"/>
    </xf>
    <xf numFmtId="4" fontId="5" fillId="0" borderId="10" xfId="0" applyNumberFormat="1" applyFont="1" applyBorder="1" applyAlignment="1">
      <alignment horizontal="justify" vertical="justify" wrapText="1"/>
    </xf>
    <xf numFmtId="4" fontId="4" fillId="0" borderId="10" xfId="0" applyNumberFormat="1" applyFont="1" applyBorder="1" applyAlignment="1">
      <alignment horizontal="justify" vertical="justify" wrapText="1"/>
    </xf>
    <xf numFmtId="0" fontId="5" fillId="0" borderId="59" xfId="0" applyFont="1" applyBorder="1" applyAlignment="1">
      <alignment horizontal="justify" vertical="justify" wrapText="1"/>
    </xf>
    <xf numFmtId="0" fontId="5" fillId="0" borderId="30" xfId="0" applyFont="1" applyFill="1" applyBorder="1" applyAlignment="1">
      <alignment horizontal="justify" vertical="justify" wrapText="1"/>
    </xf>
    <xf numFmtId="0" fontId="4" fillId="0" borderId="10" xfId="0" applyFont="1" applyFill="1" applyBorder="1" applyAlignment="1">
      <alignment horizontal="justify" vertical="justify"/>
    </xf>
    <xf numFmtId="0" fontId="4" fillId="27" borderId="10" xfId="0" applyFont="1" applyFill="1" applyBorder="1" applyAlignment="1">
      <alignment horizontal="justify" vertical="justify"/>
    </xf>
    <xf numFmtId="0" fontId="8" fillId="0" borderId="10" xfId="0" applyFont="1" applyFill="1" applyBorder="1" applyAlignment="1">
      <alignment horizontal="justify" vertical="justify" wrapText="1"/>
    </xf>
    <xf numFmtId="0" fontId="8" fillId="0" borderId="10" xfId="0" applyFont="1" applyBorder="1" applyAlignment="1">
      <alignment horizontal="justify" vertical="justify"/>
    </xf>
    <xf numFmtId="0" fontId="39" fillId="24" borderId="58" xfId="0" applyFont="1" applyFill="1" applyBorder="1" applyAlignment="1">
      <alignment horizontal="justify" vertical="justify" wrapText="1"/>
    </xf>
    <xf numFmtId="0" fontId="5" fillId="0" borderId="0" xfId="0" applyFont="1" applyAlignment="1">
      <alignment horizontal="justify" vertical="justify"/>
    </xf>
    <xf numFmtId="2" fontId="54" fillId="0" borderId="10" xfId="0" applyNumberFormat="1" applyFont="1" applyFill="1" applyBorder="1" applyAlignment="1">
      <alignment horizontal="right" vertical="center"/>
    </xf>
    <xf numFmtId="2" fontId="54" fillId="0" borderId="10" xfId="0" applyNumberFormat="1" applyFont="1" applyFill="1" applyBorder="1" applyAlignment="1">
      <alignment horizontal="justify" vertical="center"/>
    </xf>
    <xf numFmtId="0" fontId="54" fillId="0" borderId="10" xfId="0" applyFont="1" applyFill="1" applyBorder="1" applyAlignment="1">
      <alignment horizontal="center" vertical="center"/>
    </xf>
    <xf numFmtId="4" fontId="54" fillId="0" borderId="10" xfId="0" applyNumberFormat="1" applyFont="1" applyFill="1" applyBorder="1" applyAlignment="1">
      <alignment horizontal="right" vertical="center" wrapText="1"/>
    </xf>
    <xf numFmtId="0" fontId="54" fillId="0" borderId="10" xfId="0" applyFont="1" applyFill="1" applyBorder="1" applyAlignment="1">
      <alignment horizontal="justify" vertical="justify"/>
    </xf>
    <xf numFmtId="0" fontId="4" fillId="0" borderId="10" xfId="0" applyFont="1" applyBorder="1" applyAlignment="1">
      <alignment horizontal="right" vertical="justify"/>
    </xf>
    <xf numFmtId="0" fontId="54" fillId="0" borderId="10" xfId="0" applyFont="1" applyBorder="1" applyAlignment="1">
      <alignment horizontal="justify" vertical="justify" wrapText="1"/>
    </xf>
    <xf numFmtId="0" fontId="5" fillId="0" borderId="10" xfId="0" applyFont="1" applyFill="1" applyBorder="1" applyAlignment="1">
      <alignment horizontal="justify" vertical="center" wrapText="1"/>
    </xf>
    <xf numFmtId="4" fontId="4" fillId="28" borderId="10" xfId="41" applyNumberFormat="1" applyFont="1" applyFill="1" applyBorder="1" applyAlignment="1">
      <alignment horizontal="right" vertical="center" wrapText="1"/>
    </xf>
    <xf numFmtId="4" fontId="4" fillId="0" borderId="10" xfId="0" applyNumberFormat="1" applyFont="1" applyFill="1" applyBorder="1" applyAlignment="1">
      <alignment horizontal="right" vertical="center"/>
    </xf>
    <xf numFmtId="4" fontId="5" fillId="0" borderId="10" xfId="41" applyNumberFormat="1" applyFont="1" applyBorder="1" applyAlignment="1">
      <alignment horizontal="right" vertical="center" wrapText="1"/>
    </xf>
    <xf numFmtId="4" fontId="5" fillId="0" borderId="10" xfId="41" quotePrefix="1" applyNumberFormat="1" applyFont="1" applyFill="1" applyBorder="1" applyAlignment="1" applyProtection="1">
      <alignment horizontal="right" vertical="center"/>
      <protection locked="0"/>
    </xf>
    <xf numFmtId="4" fontId="4" fillId="27" borderId="10" xfId="0" applyNumberFormat="1" applyFont="1" applyFill="1" applyBorder="1" applyAlignment="1">
      <alignment horizontal="right" vertical="center"/>
    </xf>
    <xf numFmtId="4" fontId="4" fillId="0" borderId="10" xfId="41" applyNumberFormat="1" applyFont="1" applyFill="1" applyBorder="1" applyAlignment="1">
      <alignment horizontal="right" vertical="center"/>
    </xf>
    <xf numFmtId="4" fontId="54" fillId="0" borderId="10" xfId="41" applyNumberFormat="1" applyFont="1" applyFill="1" applyBorder="1" applyAlignment="1">
      <alignment horizontal="right" vertical="center" wrapText="1"/>
    </xf>
    <xf numFmtId="4" fontId="54" fillId="0" borderId="10" xfId="41" applyNumberFormat="1" applyFont="1" applyBorder="1" applyAlignment="1">
      <alignment horizontal="right" vertical="center" wrapText="1"/>
    </xf>
    <xf numFmtId="4" fontId="5" fillId="0" borderId="10" xfId="41" applyNumberFormat="1" applyFont="1" applyFill="1" applyBorder="1" applyAlignment="1">
      <alignment horizontal="right" vertical="center"/>
    </xf>
    <xf numFmtId="4" fontId="5" fillId="0" borderId="10" xfId="42" applyNumberFormat="1" applyFont="1" applyFill="1" applyBorder="1" applyAlignment="1">
      <alignment horizontal="right" vertical="center"/>
    </xf>
    <xf numFmtId="4" fontId="54" fillId="0" borderId="10" xfId="42" applyNumberFormat="1" applyFont="1" applyFill="1" applyBorder="1" applyAlignment="1">
      <alignment horizontal="right" vertical="center"/>
    </xf>
    <xf numFmtId="4" fontId="54" fillId="0" borderId="10" xfId="42" applyNumberFormat="1" applyFont="1" applyFill="1" applyBorder="1" applyAlignment="1">
      <alignment horizontal="right" vertical="center" wrapText="1"/>
    </xf>
    <xf numFmtId="4" fontId="4" fillId="0" borderId="10" xfId="42" applyNumberFormat="1" applyFont="1" applyFill="1" applyBorder="1" applyAlignment="1">
      <alignment horizontal="right" vertical="center"/>
    </xf>
    <xf numFmtId="4" fontId="4" fillId="24" borderId="10" xfId="0" applyNumberFormat="1" applyFont="1" applyFill="1" applyBorder="1" applyAlignment="1">
      <alignment horizontal="right" vertical="center"/>
    </xf>
    <xf numFmtId="4" fontId="54" fillId="0" borderId="10" xfId="41" applyNumberFormat="1" applyFont="1" applyFill="1" applyBorder="1" applyAlignment="1">
      <alignment horizontal="right" vertical="center"/>
    </xf>
    <xf numFmtId="4" fontId="5" fillId="0" borderId="10" xfId="42" applyNumberFormat="1" applyFont="1" applyBorder="1" applyAlignment="1">
      <alignment horizontal="right" vertical="center" wrapText="1"/>
    </xf>
    <xf numFmtId="4" fontId="4" fillId="0" borderId="10" xfId="0" quotePrefix="1" applyNumberFormat="1" applyFont="1" applyFill="1" applyBorder="1" applyAlignment="1">
      <alignment horizontal="right" vertical="center"/>
    </xf>
    <xf numFmtId="4" fontId="5" fillId="0" borderId="10" xfId="42" applyNumberFormat="1" applyFont="1" applyFill="1" applyBorder="1" applyAlignment="1" applyProtection="1">
      <alignment horizontal="right" vertical="center"/>
      <protection locked="0"/>
    </xf>
    <xf numFmtId="4" fontId="54" fillId="0" borderId="10" xfId="42" applyNumberFormat="1" applyFont="1" applyFill="1" applyBorder="1" applyAlignment="1" applyProtection="1">
      <alignment horizontal="right" vertical="center"/>
      <protection locked="0"/>
    </xf>
    <xf numFmtId="4" fontId="54" fillId="0" borderId="10" xfId="42" applyNumberFormat="1" applyFont="1" applyBorder="1" applyAlignment="1">
      <alignment horizontal="right" vertical="center" wrapText="1"/>
    </xf>
    <xf numFmtId="4" fontId="4" fillId="0" borderId="10" xfId="41" applyNumberFormat="1" applyFont="1" applyBorder="1" applyAlignment="1">
      <alignment horizontal="right" vertical="center" wrapText="1"/>
    </xf>
    <xf numFmtId="4" fontId="53" fillId="0" borderId="10" xfId="42" applyNumberFormat="1" applyFont="1" applyFill="1" applyBorder="1" applyAlignment="1" applyProtection="1">
      <alignment horizontal="right" vertical="center"/>
    </xf>
    <xf numFmtId="4" fontId="39" fillId="24" borderId="10" xfId="42" applyNumberFormat="1" applyFont="1" applyFill="1" applyBorder="1" applyAlignment="1">
      <alignment horizontal="right" vertical="center" wrapText="1"/>
    </xf>
    <xf numFmtId="4" fontId="5" fillId="24" borderId="10" xfId="0" applyNumberFormat="1" applyFont="1" applyFill="1" applyBorder="1" applyAlignment="1">
      <alignment horizontal="right" vertical="center"/>
    </xf>
    <xf numFmtId="4" fontId="39" fillId="24" borderId="10" xfId="42" quotePrefix="1" applyNumberFormat="1" applyFont="1" applyFill="1" applyBorder="1" applyAlignment="1">
      <alignment horizontal="right" vertical="center" wrapText="1"/>
    </xf>
    <xf numFmtId="4" fontId="39" fillId="0" borderId="10" xfId="42" applyNumberFormat="1" applyFont="1" applyFill="1" applyBorder="1" applyAlignment="1">
      <alignment horizontal="right" vertical="center" wrapText="1"/>
    </xf>
    <xf numFmtId="4" fontId="5" fillId="27" borderId="10" xfId="41" applyNumberFormat="1" applyFont="1" applyFill="1" applyBorder="1" applyAlignment="1" applyProtection="1">
      <alignment horizontal="right" vertical="center"/>
      <protection locked="0"/>
    </xf>
    <xf numFmtId="4" fontId="5" fillId="0" borderId="10" xfId="41" applyNumberFormat="1" applyFont="1" applyBorder="1" applyAlignment="1" applyProtection="1">
      <alignment horizontal="right" vertical="center"/>
      <protection locked="0"/>
    </xf>
    <xf numFmtId="4" fontId="5" fillId="0" borderId="10" xfId="41" applyNumberFormat="1" applyFont="1" applyBorder="1" applyAlignment="1">
      <alignment horizontal="right" vertical="center"/>
    </xf>
    <xf numFmtId="4" fontId="4" fillId="0" borderId="10" xfId="41" applyNumberFormat="1" applyFont="1" applyBorder="1" applyAlignment="1" applyProtection="1">
      <alignment horizontal="right" vertical="center"/>
      <protection locked="0"/>
    </xf>
    <xf numFmtId="4" fontId="5" fillId="27" borderId="10" xfId="42" applyNumberFormat="1" applyFont="1" applyFill="1" applyBorder="1" applyAlignment="1" applyProtection="1">
      <alignment horizontal="right" vertical="center"/>
      <protection locked="0"/>
    </xf>
    <xf numFmtId="4" fontId="5" fillId="0" borderId="10" xfId="42" applyNumberFormat="1" applyFont="1" applyBorder="1" applyAlignment="1" applyProtection="1">
      <alignment horizontal="right" vertical="center"/>
      <protection locked="0"/>
    </xf>
    <xf numFmtId="4" fontId="5" fillId="0" borderId="10" xfId="42" applyNumberFormat="1" applyFont="1" applyBorder="1" applyAlignment="1">
      <alignment horizontal="right" vertical="center"/>
    </xf>
    <xf numFmtId="4" fontId="4" fillId="0" borderId="10" xfId="42" applyNumberFormat="1" applyFont="1" applyBorder="1" applyAlignment="1" applyProtection="1">
      <alignment horizontal="right" vertical="center"/>
      <protection locked="0"/>
    </xf>
    <xf numFmtId="4" fontId="4" fillId="0" borderId="10" xfId="42" applyNumberFormat="1" applyFont="1" applyBorder="1" applyAlignment="1">
      <alignment horizontal="right" vertical="center" wrapText="1"/>
    </xf>
    <xf numFmtId="4" fontId="5" fillId="0" borderId="10" xfId="43" applyNumberFormat="1" applyFont="1" applyFill="1" applyBorder="1" applyAlignment="1" applyProtection="1">
      <alignment horizontal="right" vertical="center"/>
      <protection locked="0"/>
    </xf>
    <xf numFmtId="4" fontId="5" fillId="0" borderId="10" xfId="43" applyNumberFormat="1" applyFont="1" applyBorder="1" applyAlignment="1">
      <alignment horizontal="right" vertical="center" wrapText="1"/>
    </xf>
    <xf numFmtId="4" fontId="4" fillId="0" borderId="10" xfId="43" applyNumberFormat="1" applyFont="1" applyBorder="1" applyAlignment="1">
      <alignment horizontal="right" vertical="center" wrapText="1"/>
    </xf>
    <xf numFmtId="4" fontId="5" fillId="0" borderId="10" xfId="44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/>
    </xf>
    <xf numFmtId="0" fontId="40" fillId="0" borderId="117" xfId="0" applyFont="1" applyBorder="1" applyAlignment="1">
      <alignment horizontal="center" vertical="center"/>
    </xf>
    <xf numFmtId="0" fontId="40" fillId="0" borderId="118" xfId="0" applyFont="1" applyBorder="1" applyAlignment="1">
      <alignment horizontal="center" vertical="center"/>
    </xf>
    <xf numFmtId="43" fontId="40" fillId="0" borderId="118" xfId="41" applyNumberFormat="1" applyFont="1" applyBorder="1" applyAlignment="1">
      <alignment horizontal="center" vertical="center"/>
    </xf>
    <xf numFmtId="0" fontId="40" fillId="0" borderId="119" xfId="0" applyFont="1" applyBorder="1" applyAlignment="1">
      <alignment horizontal="center" vertical="center"/>
    </xf>
    <xf numFmtId="3" fontId="45" fillId="0" borderId="0" xfId="0" applyNumberFormat="1" applyFont="1" applyBorder="1" applyAlignment="1">
      <alignment horizontal="center" vertical="center"/>
    </xf>
    <xf numFmtId="0" fontId="0" fillId="0" borderId="66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0" fillId="0" borderId="67" xfId="0" applyBorder="1" applyAlignment="1">
      <alignment horizontal="left" vertical="center" wrapText="1"/>
    </xf>
    <xf numFmtId="0" fontId="0" fillId="0" borderId="64" xfId="0" applyBorder="1" applyAlignment="1">
      <alignment horizontal="left" vertical="center" wrapText="1"/>
    </xf>
    <xf numFmtId="0" fontId="6" fillId="0" borderId="62" xfId="0" applyFont="1" applyBorder="1" applyAlignment="1">
      <alignment horizontal="center" vertical="center" wrapText="1"/>
    </xf>
    <xf numFmtId="0" fontId="43" fillId="0" borderId="68" xfId="0" applyFont="1" applyBorder="1" applyAlignment="1">
      <alignment horizontal="center" vertical="center" wrapText="1"/>
    </xf>
    <xf numFmtId="0" fontId="0" fillId="0" borderId="22" xfId="0" applyBorder="1" applyAlignment="1">
      <alignment horizontal="left" vertical="center"/>
    </xf>
    <xf numFmtId="0" fontId="0" fillId="0" borderId="69" xfId="0" applyBorder="1" applyAlignment="1">
      <alignment horizontal="left" vertical="center" wrapText="1"/>
    </xf>
    <xf numFmtId="0" fontId="0" fillId="0" borderId="66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61" xfId="0" applyBorder="1" applyAlignment="1">
      <alignment horizontal="left" vertical="center"/>
    </xf>
    <xf numFmtId="0" fontId="0" fillId="0" borderId="63" xfId="0" applyBorder="1" applyAlignment="1">
      <alignment horizontal="left" vertical="center" wrapText="1"/>
    </xf>
    <xf numFmtId="0" fontId="2" fillId="0" borderId="61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71" xfId="0" applyFont="1" applyBorder="1" applyAlignment="1">
      <alignment horizontal="center"/>
    </xf>
    <xf numFmtId="0" fontId="3" fillId="0" borderId="72" xfId="0" applyFont="1" applyBorder="1" applyAlignment="1">
      <alignment horizontal="center"/>
    </xf>
    <xf numFmtId="0" fontId="43" fillId="0" borderId="62" xfId="0" applyFont="1" applyBorder="1" applyAlignment="1">
      <alignment horizontal="center" vertical="center" wrapText="1"/>
    </xf>
    <xf numFmtId="0" fontId="0" fillId="0" borderId="66" xfId="0" applyBorder="1" applyAlignment="1">
      <alignment horizontal="center"/>
    </xf>
    <xf numFmtId="0" fontId="0" fillId="0" borderId="70" xfId="0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26" borderId="13" xfId="0" applyFont="1" applyFill="1" applyBorder="1" applyAlignment="1">
      <alignment horizontal="center" vertical="center"/>
    </xf>
    <xf numFmtId="0" fontId="4" fillId="28" borderId="30" xfId="0" applyFont="1" applyFill="1" applyBorder="1" applyAlignment="1">
      <alignment horizontal="right" vertical="center"/>
    </xf>
    <xf numFmtId="0" fontId="4" fillId="28" borderId="45" xfId="0" applyFont="1" applyFill="1" applyBorder="1" applyAlignment="1">
      <alignment horizontal="right" vertical="center"/>
    </xf>
    <xf numFmtId="0" fontId="4" fillId="28" borderId="10" xfId="0" applyFont="1" applyFill="1" applyBorder="1" applyAlignment="1">
      <alignment horizontal="justify" vertical="justify" wrapText="1"/>
    </xf>
    <xf numFmtId="0" fontId="4" fillId="28" borderId="10" xfId="0" applyFont="1" applyFill="1" applyBorder="1" applyAlignment="1">
      <alignment horizontal="center" vertical="center"/>
    </xf>
    <xf numFmtId="4" fontId="4" fillId="28" borderId="10" xfId="41" applyNumberFormat="1" applyFont="1" applyFill="1" applyBorder="1" applyAlignment="1">
      <alignment horizontal="right" vertical="center" wrapText="1"/>
    </xf>
    <xf numFmtId="4" fontId="4" fillId="28" borderId="10" xfId="0" applyNumberFormat="1" applyFont="1" applyFill="1" applyBorder="1" applyAlignment="1">
      <alignment horizontal="right" vertical="center"/>
    </xf>
    <xf numFmtId="0" fontId="4" fillId="0" borderId="10" xfId="34" applyFont="1" applyFill="1" applyBorder="1" applyAlignment="1">
      <alignment horizontal="center" vertical="center" wrapText="1"/>
    </xf>
    <xf numFmtId="4" fontId="4" fillId="0" borderId="10" xfId="34" applyNumberFormat="1" applyFont="1" applyFill="1" applyBorder="1" applyAlignment="1">
      <alignment horizontal="center" vertical="center" wrapText="1"/>
    </xf>
    <xf numFmtId="4" fontId="4" fillId="0" borderId="46" xfId="34" applyNumberFormat="1" applyFont="1" applyFill="1" applyBorder="1" applyAlignment="1">
      <alignment horizontal="center" vertical="center" wrapText="1"/>
    </xf>
    <xf numFmtId="0" fontId="5" fillId="0" borderId="10" xfId="34" applyFont="1" applyFill="1" applyBorder="1" applyAlignment="1">
      <alignment horizontal="center" vertical="center" wrapText="1"/>
    </xf>
    <xf numFmtId="0" fontId="32" fillId="0" borderId="74" xfId="0" applyNumberFormat="1" applyFont="1" applyFill="1" applyBorder="1" applyAlignment="1">
      <alignment horizontal="center" vertical="center"/>
    </xf>
    <xf numFmtId="0" fontId="32" fillId="0" borderId="64" xfId="0" applyNumberFormat="1" applyFont="1" applyFill="1" applyBorder="1" applyAlignment="1">
      <alignment horizontal="center" vertical="center"/>
    </xf>
    <xf numFmtId="49" fontId="32" fillId="0" borderId="64" xfId="0" applyNumberFormat="1" applyFont="1" applyFill="1" applyBorder="1" applyAlignment="1">
      <alignment horizontal="center" vertical="center"/>
    </xf>
    <xf numFmtId="49" fontId="32" fillId="0" borderId="75" xfId="0" applyNumberFormat="1" applyFont="1" applyFill="1" applyBorder="1" applyAlignment="1">
      <alignment horizontal="center" vertical="center"/>
    </xf>
    <xf numFmtId="0" fontId="34" fillId="0" borderId="76" xfId="0" applyNumberFormat="1" applyFont="1" applyFill="1" applyBorder="1" applyAlignment="1">
      <alignment horizontal="left" vertical="center" wrapText="1"/>
    </xf>
    <xf numFmtId="0" fontId="34" fillId="0" borderId="67" xfId="0" applyNumberFormat="1" applyFont="1" applyFill="1" applyBorder="1" applyAlignment="1">
      <alignment horizontal="left" vertical="center" wrapText="1"/>
    </xf>
    <xf numFmtId="0" fontId="34" fillId="0" borderId="77" xfId="0" applyNumberFormat="1" applyFont="1" applyFill="1" applyBorder="1" applyAlignment="1">
      <alignment horizontal="left" vertical="center" wrapText="1"/>
    </xf>
    <xf numFmtId="0" fontId="34" fillId="0" borderId="78" xfId="0" applyNumberFormat="1" applyFont="1" applyFill="1" applyBorder="1" applyAlignment="1">
      <alignment horizontal="center" vertical="center" wrapText="1"/>
    </xf>
    <xf numFmtId="0" fontId="34" fillId="0" borderId="67" xfId="0" applyNumberFormat="1" applyFont="1" applyFill="1" applyBorder="1" applyAlignment="1">
      <alignment horizontal="center" vertical="center" wrapText="1"/>
    </xf>
    <xf numFmtId="0" fontId="34" fillId="0" borderId="77" xfId="0" applyNumberFormat="1" applyFont="1" applyFill="1" applyBorder="1" applyAlignment="1">
      <alignment horizontal="center" vertical="center" wrapText="1"/>
    </xf>
    <xf numFmtId="0" fontId="34" fillId="0" borderId="79" xfId="0" applyNumberFormat="1" applyFont="1" applyFill="1" applyBorder="1" applyAlignment="1">
      <alignment horizontal="center" vertical="center" wrapText="1"/>
    </xf>
    <xf numFmtId="0" fontId="34" fillId="0" borderId="0" xfId="0" applyNumberFormat="1" applyFont="1" applyFill="1" applyBorder="1" applyAlignment="1">
      <alignment horizontal="center" vertical="center" wrapText="1"/>
    </xf>
    <xf numFmtId="0" fontId="34" fillId="0" borderId="80" xfId="0" applyNumberFormat="1" applyFont="1" applyFill="1" applyBorder="1" applyAlignment="1">
      <alignment horizontal="center" vertical="center" wrapText="1"/>
    </xf>
    <xf numFmtId="0" fontId="34" fillId="0" borderId="81" xfId="0" applyNumberFormat="1" applyFont="1" applyFill="1" applyBorder="1" applyAlignment="1">
      <alignment horizontal="center" vertical="center" wrapText="1"/>
    </xf>
    <xf numFmtId="0" fontId="34" fillId="0" borderId="64" xfId="0" applyNumberFormat="1" applyFont="1" applyFill="1" applyBorder="1" applyAlignment="1">
      <alignment horizontal="center" vertical="center" wrapText="1"/>
    </xf>
    <xf numFmtId="0" fontId="34" fillId="0" borderId="82" xfId="0" applyNumberFormat="1" applyFont="1" applyFill="1" applyBorder="1" applyAlignment="1">
      <alignment horizontal="center" vertical="center" wrapText="1"/>
    </xf>
    <xf numFmtId="0" fontId="34" fillId="0" borderId="83" xfId="0" applyNumberFormat="1" applyFont="1" applyFill="1" applyBorder="1" applyAlignment="1">
      <alignment horizontal="center" vertical="center" wrapText="1"/>
    </xf>
    <xf numFmtId="0" fontId="34" fillId="0" borderId="40" xfId="0" applyNumberFormat="1" applyFont="1" applyFill="1" applyBorder="1" applyAlignment="1">
      <alignment horizontal="center" vertical="center" wrapText="1"/>
    </xf>
    <xf numFmtId="0" fontId="34" fillId="0" borderId="75" xfId="0" applyNumberFormat="1" applyFont="1" applyFill="1" applyBorder="1" applyAlignment="1">
      <alignment horizontal="center" vertical="center" wrapText="1"/>
    </xf>
    <xf numFmtId="0" fontId="34" fillId="0" borderId="84" xfId="0" applyNumberFormat="1" applyFont="1" applyFill="1" applyBorder="1" applyAlignment="1">
      <alignment horizontal="left" vertical="center" wrapText="1"/>
    </xf>
    <xf numFmtId="0" fontId="34" fillId="0" borderId="0" xfId="0" applyNumberFormat="1" applyFont="1" applyFill="1" applyBorder="1" applyAlignment="1">
      <alignment horizontal="left" vertical="center" wrapText="1"/>
    </xf>
    <xf numFmtId="0" fontId="34" fillId="0" borderId="80" xfId="0" applyNumberFormat="1" applyFont="1" applyFill="1" applyBorder="1" applyAlignment="1">
      <alignment horizontal="left" vertical="center" wrapText="1"/>
    </xf>
    <xf numFmtId="0" fontId="34" fillId="0" borderId="74" xfId="0" applyNumberFormat="1" applyFont="1" applyFill="1" applyBorder="1" applyAlignment="1">
      <alignment horizontal="left" vertical="center"/>
    </xf>
    <xf numFmtId="0" fontId="34" fillId="0" borderId="64" xfId="0" applyNumberFormat="1" applyFont="1" applyFill="1" applyBorder="1" applyAlignment="1">
      <alignment horizontal="left" vertical="center"/>
    </xf>
    <xf numFmtId="49" fontId="32" fillId="0" borderId="0" xfId="0" applyNumberFormat="1" applyFont="1" applyFill="1" applyBorder="1" applyAlignment="1">
      <alignment horizontal="center" vertical="center"/>
    </xf>
    <xf numFmtId="49" fontId="32" fillId="0" borderId="40" xfId="0" applyNumberFormat="1" applyFont="1" applyFill="1" applyBorder="1" applyAlignment="1">
      <alignment horizontal="center" vertical="center"/>
    </xf>
    <xf numFmtId="0" fontId="32" fillId="0" borderId="84" xfId="0" applyNumberFormat="1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center" vertical="center"/>
    </xf>
    <xf numFmtId="43" fontId="36" fillId="0" borderId="85" xfId="0" applyNumberFormat="1" applyFont="1" applyFill="1" applyBorder="1" applyAlignment="1">
      <alignment horizontal="right" vertical="center"/>
    </xf>
    <xf numFmtId="43" fontId="36" fillId="0" borderId="86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Alignment="1">
      <alignment horizontal="center" vertical="center"/>
    </xf>
    <xf numFmtId="0" fontId="37" fillId="0" borderId="87" xfId="0" applyNumberFormat="1" applyFont="1" applyFill="1" applyBorder="1" applyAlignment="1">
      <alignment horizontal="left"/>
    </xf>
    <xf numFmtId="0" fontId="37" fillId="0" borderId="88" xfId="0" applyNumberFormat="1" applyFont="1" applyFill="1" applyBorder="1" applyAlignment="1">
      <alignment horizontal="left"/>
    </xf>
    <xf numFmtId="43" fontId="38" fillId="0" borderId="88" xfId="0" applyNumberFormat="1" applyFont="1" applyFill="1" applyBorder="1" applyAlignment="1">
      <alignment horizontal="right" vertical="center"/>
    </xf>
    <xf numFmtId="43" fontId="38" fillId="0" borderId="89" xfId="0" applyNumberFormat="1" applyFont="1" applyFill="1" applyBorder="1" applyAlignment="1">
      <alignment horizontal="right" vertical="center"/>
    </xf>
    <xf numFmtId="0" fontId="30" fillId="0" borderId="76" xfId="0" applyNumberFormat="1" applyFont="1" applyFill="1" applyBorder="1" applyAlignment="1">
      <alignment horizontal="left"/>
    </xf>
    <xf numFmtId="0" fontId="30" fillId="0" borderId="67" xfId="0" applyNumberFormat="1" applyFont="1" applyFill="1" applyBorder="1" applyAlignment="1">
      <alignment horizontal="left"/>
    </xf>
    <xf numFmtId="49" fontId="32" fillId="0" borderId="67" xfId="0" applyNumberFormat="1" applyFont="1" applyFill="1" applyBorder="1" applyAlignment="1">
      <alignment horizontal="center" vertical="center"/>
    </xf>
    <xf numFmtId="49" fontId="32" fillId="0" borderId="83" xfId="0" applyNumberFormat="1" applyFont="1" applyFill="1" applyBorder="1" applyAlignment="1">
      <alignment horizontal="center" vertical="center"/>
    </xf>
    <xf numFmtId="167" fontId="32" fillId="0" borderId="85" xfId="0" applyNumberFormat="1" applyFont="1" applyFill="1" applyBorder="1" applyAlignment="1">
      <alignment horizontal="right" vertical="center"/>
    </xf>
    <xf numFmtId="166" fontId="32" fillId="0" borderId="85" xfId="0" applyNumberFormat="1" applyFont="1" applyFill="1" applyBorder="1" applyAlignment="1">
      <alignment horizontal="right" vertical="center"/>
    </xf>
    <xf numFmtId="166" fontId="32" fillId="0" borderId="86" xfId="0" applyNumberFormat="1" applyFont="1" applyFill="1" applyBorder="1" applyAlignment="1">
      <alignment horizontal="right" vertical="center"/>
    </xf>
    <xf numFmtId="0" fontId="33" fillId="0" borderId="87" xfId="0" applyNumberFormat="1" applyFont="1" applyFill="1" applyBorder="1" applyAlignment="1">
      <alignment horizontal="center" vertical="center"/>
    </xf>
    <xf numFmtId="0" fontId="33" fillId="0" borderId="88" xfId="0" applyNumberFormat="1" applyFont="1" applyFill="1" applyBorder="1" applyAlignment="1">
      <alignment horizontal="center" vertical="center"/>
    </xf>
    <xf numFmtId="0" fontId="33" fillId="0" borderId="90" xfId="0" applyNumberFormat="1" applyFont="1" applyFill="1" applyBorder="1" applyAlignment="1">
      <alignment horizontal="center" vertical="center"/>
    </xf>
    <xf numFmtId="49" fontId="30" fillId="0" borderId="91" xfId="0" applyNumberFormat="1" applyFont="1" applyFill="1" applyBorder="1" applyAlignment="1">
      <alignment horizontal="left" vertical="center"/>
    </xf>
    <xf numFmtId="49" fontId="30" fillId="0" borderId="88" xfId="0" applyNumberFormat="1" applyFont="1" applyFill="1" applyBorder="1" applyAlignment="1">
      <alignment horizontal="left" vertical="center"/>
    </xf>
    <xf numFmtId="43" fontId="30" fillId="0" borderId="88" xfId="0" applyNumberFormat="1" applyFont="1" applyFill="1" applyBorder="1" applyAlignment="1">
      <alignment horizontal="right" vertical="center"/>
    </xf>
    <xf numFmtId="43" fontId="30" fillId="0" borderId="89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center" vertical="center"/>
    </xf>
    <xf numFmtId="0" fontId="34" fillId="0" borderId="92" xfId="0" applyNumberFormat="1" applyFont="1" applyFill="1" applyBorder="1" applyAlignment="1">
      <alignment horizontal="left" vertical="center"/>
    </xf>
    <xf numFmtId="0" fontId="34" fillId="0" borderId="93" xfId="0" applyNumberFormat="1" applyFont="1" applyFill="1" applyBorder="1" applyAlignment="1">
      <alignment horizontal="left" vertical="center"/>
    </xf>
    <xf numFmtId="43" fontId="29" fillId="0" borderId="93" xfId="0" applyNumberFormat="1" applyFont="1" applyFill="1" applyBorder="1" applyAlignment="1">
      <alignment horizontal="right" vertical="center"/>
    </xf>
    <xf numFmtId="43" fontId="29" fillId="0" borderId="94" xfId="0" applyNumberFormat="1" applyFont="1" applyFill="1" applyBorder="1" applyAlignment="1">
      <alignment horizontal="right" vertical="center"/>
    </xf>
    <xf numFmtId="0" fontId="34" fillId="0" borderId="95" xfId="0" applyNumberFormat="1" applyFont="1" applyFill="1" applyBorder="1" applyAlignment="1">
      <alignment horizontal="left" vertical="center"/>
    </xf>
    <xf numFmtId="0" fontId="34" fillId="0" borderId="85" xfId="0" applyNumberFormat="1" applyFont="1" applyFill="1" applyBorder="1" applyAlignment="1">
      <alignment horizontal="left" vertical="center"/>
    </xf>
    <xf numFmtId="0" fontId="34" fillId="0" borderId="28" xfId="0" applyNumberFormat="1" applyFont="1" applyFill="1" applyBorder="1" applyAlignment="1">
      <alignment horizontal="left" vertical="center"/>
    </xf>
    <xf numFmtId="10" fontId="35" fillId="0" borderId="26" xfId="0" applyNumberFormat="1" applyFont="1" applyFill="1" applyBorder="1" applyAlignment="1">
      <alignment horizontal="left" vertical="center"/>
    </xf>
    <xf numFmtId="10" fontId="35" fillId="0" borderId="27" xfId="0" applyNumberFormat="1" applyFont="1" applyFill="1" applyBorder="1" applyAlignment="1">
      <alignment horizontal="left" vertical="center"/>
    </xf>
    <xf numFmtId="49" fontId="31" fillId="0" borderId="95" xfId="0" applyNumberFormat="1" applyFont="1" applyFill="1" applyBorder="1" applyAlignment="1">
      <alignment horizontal="center" vertical="center"/>
    </xf>
    <xf numFmtId="49" fontId="31" fillId="0" borderId="85" xfId="0" applyNumberFormat="1" applyFont="1" applyFill="1" applyBorder="1" applyAlignment="1">
      <alignment horizontal="center" vertical="center"/>
    </xf>
    <xf numFmtId="0" fontId="32" fillId="0" borderId="85" xfId="0" applyNumberFormat="1" applyFont="1" applyFill="1" applyBorder="1" applyAlignment="1">
      <alignment vertical="center"/>
    </xf>
    <xf numFmtId="166" fontId="32" fillId="0" borderId="85" xfId="0" applyNumberFormat="1" applyFont="1" applyFill="1" applyBorder="1" applyAlignment="1">
      <alignment horizontal="center" vertical="center"/>
    </xf>
    <xf numFmtId="166" fontId="32" fillId="0" borderId="85" xfId="0" applyNumberFormat="1" applyFont="1" applyFill="1" applyBorder="1" applyAlignment="1">
      <alignment vertical="center"/>
    </xf>
    <xf numFmtId="166" fontId="32" fillId="0" borderId="96" xfId="0" applyNumberFormat="1" applyFont="1" applyFill="1" applyBorder="1" applyAlignment="1">
      <alignment horizontal="right" vertical="center"/>
    </xf>
    <xf numFmtId="166" fontId="32" fillId="0" borderId="97" xfId="0" applyNumberFormat="1" applyFont="1" applyFill="1" applyBorder="1" applyAlignment="1">
      <alignment horizontal="right" vertical="center"/>
    </xf>
    <xf numFmtId="49" fontId="30" fillId="0" borderId="93" xfId="0" applyNumberFormat="1" applyFont="1" applyFill="1" applyBorder="1" applyAlignment="1">
      <alignment horizontal="center" vertical="center" wrapText="1"/>
    </xf>
    <xf numFmtId="49" fontId="30" fillId="0" borderId="88" xfId="0" applyNumberFormat="1" applyFont="1" applyFill="1" applyBorder="1" applyAlignment="1">
      <alignment horizontal="center" vertical="center" wrapText="1"/>
    </xf>
    <xf numFmtId="49" fontId="30" fillId="0" borderId="94" xfId="0" applyNumberFormat="1" applyFont="1" applyFill="1" applyBorder="1" applyAlignment="1">
      <alignment horizontal="center" vertical="center" wrapText="1"/>
    </xf>
    <xf numFmtId="49" fontId="30" fillId="0" borderId="89" xfId="0" applyNumberFormat="1" applyFont="1" applyFill="1" applyBorder="1" applyAlignment="1">
      <alignment horizontal="center" vertical="center" wrapText="1"/>
    </xf>
    <xf numFmtId="49" fontId="31" fillId="0" borderId="98" xfId="0" applyNumberFormat="1" applyFont="1" applyFill="1" applyBorder="1" applyAlignment="1">
      <alignment horizontal="center" vertical="center"/>
    </xf>
    <xf numFmtId="49" fontId="31" fillId="0" borderId="96" xfId="0" applyNumberFormat="1" applyFont="1" applyFill="1" applyBorder="1" applyAlignment="1">
      <alignment horizontal="center" vertical="center"/>
    </xf>
    <xf numFmtId="0" fontId="32" fillId="0" borderId="96" xfId="0" applyNumberFormat="1" applyFont="1" applyFill="1" applyBorder="1" applyAlignment="1">
      <alignment vertical="center"/>
    </xf>
    <xf numFmtId="166" fontId="32" fillId="0" borderId="96" xfId="0" applyNumberFormat="1" applyFont="1" applyFill="1" applyBorder="1" applyAlignment="1">
      <alignment horizontal="center" vertical="center"/>
    </xf>
    <xf numFmtId="166" fontId="32" fillId="0" borderId="96" xfId="0" applyNumberFormat="1" applyFont="1" applyFill="1" applyBorder="1" applyAlignment="1">
      <alignment vertical="center"/>
    </xf>
    <xf numFmtId="167" fontId="32" fillId="0" borderId="96" xfId="0" applyNumberFormat="1" applyFont="1" applyFill="1" applyBorder="1" applyAlignment="1">
      <alignment horizontal="right" vertical="center"/>
    </xf>
    <xf numFmtId="49" fontId="30" fillId="0" borderId="92" xfId="0" applyNumberFormat="1" applyFont="1" applyFill="1" applyBorder="1" applyAlignment="1">
      <alignment horizontal="center" vertical="center" wrapText="1"/>
    </xf>
    <xf numFmtId="49" fontId="30" fillId="0" borderId="87" xfId="0" applyNumberFormat="1" applyFont="1" applyFill="1" applyBorder="1" applyAlignment="1">
      <alignment horizontal="center" vertical="center" wrapText="1"/>
    </xf>
    <xf numFmtId="0" fontId="32" fillId="0" borderId="85" xfId="0" applyNumberFormat="1" applyFont="1" applyFill="1" applyBorder="1" applyAlignment="1">
      <alignment horizontal="left" vertical="center"/>
    </xf>
    <xf numFmtId="0" fontId="32" fillId="0" borderId="85" xfId="0" applyNumberFormat="1" applyFont="1" applyFill="1" applyBorder="1" applyAlignment="1">
      <alignment horizontal="center" vertical="center"/>
    </xf>
    <xf numFmtId="39" fontId="32" fillId="0" borderId="85" xfId="0" applyNumberFormat="1" applyFont="1" applyFill="1" applyBorder="1" applyAlignment="1">
      <alignment horizontal="right" vertical="center"/>
    </xf>
    <xf numFmtId="39" fontId="32" fillId="0" borderId="28" xfId="0" applyNumberFormat="1" applyFont="1" applyFill="1" applyBorder="1" applyAlignment="1">
      <alignment horizontal="right" vertical="center"/>
    </xf>
    <xf numFmtId="39" fontId="32" fillId="0" borderId="26" xfId="0" applyNumberFormat="1" applyFont="1" applyFill="1" applyBorder="1" applyAlignment="1">
      <alignment horizontal="right" vertical="center"/>
    </xf>
    <xf numFmtId="39" fontId="32" fillId="0" borderId="27" xfId="0" applyNumberFormat="1" applyFont="1" applyFill="1" applyBorder="1" applyAlignment="1">
      <alignment horizontal="right" vertical="center"/>
    </xf>
    <xf numFmtId="0" fontId="32" fillId="0" borderId="92" xfId="0" applyNumberFormat="1" applyFont="1" applyFill="1" applyBorder="1" applyAlignment="1">
      <alignment horizontal="center" vertical="center"/>
    </xf>
    <xf numFmtId="0" fontId="32" fillId="0" borderId="93" xfId="0" applyNumberFormat="1" applyFont="1" applyFill="1" applyBorder="1" applyAlignment="1">
      <alignment horizontal="center" vertical="center"/>
    </xf>
    <xf numFmtId="0" fontId="32" fillId="0" borderId="99" xfId="0" applyNumberFormat="1" applyFont="1" applyFill="1" applyBorder="1" applyAlignment="1">
      <alignment horizontal="center" vertical="center"/>
    </xf>
    <xf numFmtId="49" fontId="29" fillId="0" borderId="88" xfId="0" applyNumberFormat="1" applyFont="1" applyFill="1" applyBorder="1" applyAlignment="1">
      <alignment horizontal="left" vertical="center"/>
    </xf>
    <xf numFmtId="43" fontId="30" fillId="0" borderId="93" xfId="0" applyNumberFormat="1" applyFont="1" applyFill="1" applyBorder="1" applyAlignment="1">
      <alignment horizontal="center" vertical="center"/>
    </xf>
    <xf numFmtId="0" fontId="30" fillId="0" borderId="93" xfId="0" applyNumberFormat="1" applyFont="1" applyFill="1" applyBorder="1" applyAlignment="1">
      <alignment horizontal="center" vertical="center"/>
    </xf>
    <xf numFmtId="0" fontId="30" fillId="0" borderId="94" xfId="0" applyNumberFormat="1" applyFont="1" applyFill="1" applyBorder="1" applyAlignment="1">
      <alignment horizontal="center" vertical="center"/>
    </xf>
    <xf numFmtId="49" fontId="30" fillId="0" borderId="87" xfId="0" applyNumberFormat="1" applyFont="1" applyFill="1" applyBorder="1" applyAlignment="1">
      <alignment horizontal="left" vertical="center"/>
    </xf>
    <xf numFmtId="43" fontId="30" fillId="0" borderId="90" xfId="0" applyNumberFormat="1" applyFont="1" applyFill="1" applyBorder="1" applyAlignment="1">
      <alignment horizontal="right" vertical="center"/>
    </xf>
    <xf numFmtId="43" fontId="29" fillId="0" borderId="88" xfId="0" applyNumberFormat="1" applyFont="1" applyFill="1" applyBorder="1" applyAlignment="1">
      <alignment horizontal="right" vertical="center"/>
    </xf>
    <xf numFmtId="43" fontId="29" fillId="0" borderId="89" xfId="0" applyNumberFormat="1" applyFont="1" applyFill="1" applyBorder="1" applyAlignment="1">
      <alignment horizontal="right" vertical="center"/>
    </xf>
    <xf numFmtId="0" fontId="33" fillId="0" borderId="95" xfId="0" applyNumberFormat="1" applyFont="1" applyFill="1" applyBorder="1" applyAlignment="1">
      <alignment horizontal="center" vertical="center"/>
    </xf>
    <xf numFmtId="0" fontId="33" fillId="0" borderId="85" xfId="0" applyNumberFormat="1" applyFont="1" applyFill="1" applyBorder="1" applyAlignment="1">
      <alignment horizontal="center" vertical="center"/>
    </xf>
    <xf numFmtId="0" fontId="33" fillId="0" borderId="28" xfId="0" applyNumberFormat="1" applyFont="1" applyFill="1" applyBorder="1" applyAlignment="1">
      <alignment horizontal="center" vertical="center"/>
    </xf>
    <xf numFmtId="49" fontId="32" fillId="0" borderId="27" xfId="0" applyNumberFormat="1" applyFont="1" applyFill="1" applyBorder="1" applyAlignment="1">
      <alignment horizontal="left" vertical="center"/>
    </xf>
    <xf numFmtId="49" fontId="32" fillId="0" borderId="85" xfId="0" applyNumberFormat="1" applyFont="1" applyFill="1" applyBorder="1" applyAlignment="1">
      <alignment horizontal="left" vertical="center"/>
    </xf>
    <xf numFmtId="49" fontId="32" fillId="0" borderId="85" xfId="36" applyNumberFormat="1" applyFont="1" applyFill="1" applyBorder="1" applyAlignment="1">
      <alignment horizontal="center" vertical="center"/>
    </xf>
    <xf numFmtId="0" fontId="32" fillId="0" borderId="85" xfId="0" applyNumberFormat="1" applyFont="1" applyFill="1" applyBorder="1" applyAlignment="1">
      <alignment horizontal="right" vertical="center"/>
    </xf>
    <xf numFmtId="43" fontId="32" fillId="0" borderId="85" xfId="0" applyNumberFormat="1" applyFont="1" applyFill="1" applyBorder="1" applyAlignment="1">
      <alignment horizontal="center" vertical="center"/>
    </xf>
    <xf numFmtId="43" fontId="32" fillId="0" borderId="86" xfId="0" applyNumberFormat="1" applyFont="1" applyFill="1" applyBorder="1" applyAlignment="1">
      <alignment horizontal="center" vertical="center"/>
    </xf>
    <xf numFmtId="39" fontId="32" fillId="0" borderId="86" xfId="0" applyNumberFormat="1" applyFont="1" applyFill="1" applyBorder="1" applyAlignment="1">
      <alignment horizontal="right" vertical="center"/>
    </xf>
    <xf numFmtId="43" fontId="32" fillId="0" borderId="85" xfId="0" applyNumberFormat="1" applyFont="1" applyFill="1" applyBorder="1" applyAlignment="1">
      <alignment horizontal="right" vertical="center"/>
    </xf>
    <xf numFmtId="39" fontId="32" fillId="0" borderId="96" xfId="0" applyNumberFormat="1" applyFont="1" applyFill="1" applyBorder="1" applyAlignment="1">
      <alignment horizontal="right" vertical="center"/>
    </xf>
    <xf numFmtId="39" fontId="32" fillId="0" borderId="97" xfId="0" applyNumberFormat="1" applyFont="1" applyFill="1" applyBorder="1" applyAlignment="1">
      <alignment horizontal="right" vertical="center"/>
    </xf>
    <xf numFmtId="0" fontId="32" fillId="0" borderId="96" xfId="0" applyNumberFormat="1" applyFont="1" applyFill="1" applyBorder="1" applyAlignment="1">
      <alignment horizontal="left" vertical="center"/>
    </xf>
    <xf numFmtId="43" fontId="32" fillId="0" borderId="96" xfId="0" applyNumberFormat="1" applyFont="1" applyFill="1" applyBorder="1" applyAlignment="1">
      <alignment horizontal="right" vertical="center"/>
    </xf>
    <xf numFmtId="0" fontId="30" fillId="0" borderId="88" xfId="0" applyNumberFormat="1" applyFont="1" applyFill="1" applyBorder="1" applyAlignment="1">
      <alignment horizontal="left" vertical="center"/>
    </xf>
    <xf numFmtId="49" fontId="27" fillId="0" borderId="92" xfId="0" applyNumberFormat="1" applyFont="1" applyFill="1" applyBorder="1" applyAlignment="1">
      <alignment horizontal="center" vertical="center"/>
    </xf>
    <xf numFmtId="49" fontId="27" fillId="0" borderId="93" xfId="0" applyNumberFormat="1" applyFont="1" applyFill="1" applyBorder="1" applyAlignment="1">
      <alignment horizontal="center" vertical="center"/>
    </xf>
    <xf numFmtId="49" fontId="27" fillId="0" borderId="94" xfId="0" applyNumberFormat="1" applyFont="1" applyFill="1" applyBorder="1" applyAlignment="1">
      <alignment horizontal="center" vertical="center"/>
    </xf>
    <xf numFmtId="49" fontId="27" fillId="0" borderId="95" xfId="0" applyNumberFormat="1" applyFont="1" applyFill="1" applyBorder="1" applyAlignment="1">
      <alignment horizontal="center" vertical="center"/>
    </xf>
    <xf numFmtId="49" fontId="27" fillId="0" borderId="85" xfId="0" applyNumberFormat="1" applyFont="1" applyFill="1" applyBorder="1" applyAlignment="1">
      <alignment horizontal="center" vertical="center"/>
    </xf>
    <xf numFmtId="49" fontId="27" fillId="0" borderId="86" xfId="0" applyNumberFormat="1" applyFont="1" applyFill="1" applyBorder="1" applyAlignment="1">
      <alignment horizontal="center" vertical="center"/>
    </xf>
    <xf numFmtId="49" fontId="28" fillId="0" borderId="95" xfId="0" applyNumberFormat="1" applyFont="1" applyFill="1" applyBorder="1" applyAlignment="1">
      <alignment horizontal="center" vertical="center"/>
    </xf>
    <xf numFmtId="49" fontId="28" fillId="0" borderId="85" xfId="0" applyNumberFormat="1" applyFont="1" applyFill="1" applyBorder="1" applyAlignment="1">
      <alignment horizontal="center" vertical="center"/>
    </xf>
    <xf numFmtId="49" fontId="28" fillId="0" borderId="28" xfId="0" applyNumberFormat="1" applyFont="1" applyFill="1" applyBorder="1" applyAlignment="1">
      <alignment horizontal="center" vertical="center"/>
    </xf>
    <xf numFmtId="49" fontId="28" fillId="0" borderId="87" xfId="0" applyNumberFormat="1" applyFont="1" applyFill="1" applyBorder="1" applyAlignment="1">
      <alignment horizontal="center" vertical="center"/>
    </xf>
    <xf numFmtId="49" fontId="28" fillId="0" borderId="88" xfId="0" applyNumberFormat="1" applyFont="1" applyFill="1" applyBorder="1" applyAlignment="1">
      <alignment horizontal="center" vertical="center"/>
    </xf>
    <xf numFmtId="49" fontId="28" fillId="0" borderId="90" xfId="0" applyNumberFormat="1" applyFont="1" applyFill="1" applyBorder="1" applyAlignment="1">
      <alignment horizontal="center" vertical="center"/>
    </xf>
    <xf numFmtId="49" fontId="29" fillId="0" borderId="27" xfId="0" applyNumberFormat="1" applyFont="1" applyFill="1" applyBorder="1" applyAlignment="1">
      <alignment horizontal="center" vertical="center"/>
    </xf>
    <xf numFmtId="49" fontId="29" fillId="0" borderId="85" xfId="0" applyNumberFormat="1" applyFont="1" applyFill="1" applyBorder="1" applyAlignment="1">
      <alignment horizontal="center" vertical="center"/>
    </xf>
    <xf numFmtId="49" fontId="29" fillId="0" borderId="91" xfId="0" applyNumberFormat="1" applyFont="1" applyFill="1" applyBorder="1" applyAlignment="1">
      <alignment horizontal="center" vertical="center"/>
    </xf>
    <xf numFmtId="49" fontId="29" fillId="0" borderId="88" xfId="0" applyNumberFormat="1" applyFont="1" applyFill="1" applyBorder="1" applyAlignment="1">
      <alignment horizontal="center" vertical="center"/>
    </xf>
    <xf numFmtId="0" fontId="28" fillId="0" borderId="85" xfId="0" applyNumberFormat="1" applyFont="1" applyFill="1" applyBorder="1" applyAlignment="1">
      <alignment horizontal="center" vertical="center"/>
    </xf>
    <xf numFmtId="0" fontId="28" fillId="0" borderId="28" xfId="0" applyNumberFormat="1" applyFont="1" applyFill="1" applyBorder="1" applyAlignment="1">
      <alignment horizontal="center" vertical="center"/>
    </xf>
    <xf numFmtId="0" fontId="28" fillId="0" borderId="88" xfId="0" applyNumberFormat="1" applyFont="1" applyFill="1" applyBorder="1" applyAlignment="1">
      <alignment horizontal="center" vertical="center"/>
    </xf>
    <xf numFmtId="0" fontId="28" fillId="0" borderId="90" xfId="0" applyNumberFormat="1" applyFont="1" applyFill="1" applyBorder="1" applyAlignment="1">
      <alignment horizontal="center" vertical="center"/>
    </xf>
    <xf numFmtId="0" fontId="29" fillId="0" borderId="27" xfId="0" applyNumberFormat="1" applyFont="1" applyFill="1" applyBorder="1" applyAlignment="1">
      <alignment horizontal="center" vertical="center" wrapText="1"/>
    </xf>
    <xf numFmtId="0" fontId="29" fillId="0" borderId="85" xfId="0" applyNumberFormat="1" applyFont="1" applyFill="1" applyBorder="1" applyAlignment="1">
      <alignment horizontal="center" vertical="center" wrapText="1"/>
    </xf>
    <xf numFmtId="0" fontId="29" fillId="0" borderId="86" xfId="0" applyNumberFormat="1" applyFont="1" applyFill="1" applyBorder="1" applyAlignment="1">
      <alignment horizontal="center" vertical="center" wrapText="1"/>
    </xf>
    <xf numFmtId="0" fontId="29" fillId="0" borderId="91" xfId="0" applyNumberFormat="1" applyFont="1" applyFill="1" applyBorder="1" applyAlignment="1">
      <alignment horizontal="center" vertical="center" wrapText="1"/>
    </xf>
    <xf numFmtId="0" fontId="29" fillId="0" borderId="88" xfId="0" applyNumberFormat="1" applyFont="1" applyFill="1" applyBorder="1" applyAlignment="1">
      <alignment horizontal="center" vertical="center" wrapText="1"/>
    </xf>
    <xf numFmtId="0" fontId="29" fillId="0" borderId="89" xfId="0" applyNumberFormat="1" applyFont="1" applyFill="1" applyBorder="1" applyAlignment="1">
      <alignment horizontal="center" vertical="center" wrapText="1"/>
    </xf>
    <xf numFmtId="0" fontId="29" fillId="0" borderId="27" xfId="0" applyNumberFormat="1" applyFont="1" applyFill="1" applyBorder="1" applyAlignment="1">
      <alignment horizontal="left" vertical="center" wrapText="1"/>
    </xf>
    <xf numFmtId="0" fontId="29" fillId="0" borderId="85" xfId="0" applyNumberFormat="1" applyFont="1" applyFill="1" applyBorder="1" applyAlignment="1">
      <alignment horizontal="left" vertical="center" wrapText="1"/>
    </xf>
    <xf numFmtId="0" fontId="29" fillId="0" borderId="91" xfId="0" applyNumberFormat="1" applyFont="1" applyFill="1" applyBorder="1" applyAlignment="1">
      <alignment horizontal="left" vertical="center" wrapText="1"/>
    </xf>
    <xf numFmtId="0" fontId="29" fillId="0" borderId="88" xfId="0" applyNumberFormat="1" applyFont="1" applyFill="1" applyBorder="1" applyAlignment="1">
      <alignment horizontal="left" vertical="center" wrapText="1"/>
    </xf>
    <xf numFmtId="0" fontId="29" fillId="0" borderId="100" xfId="0" applyNumberFormat="1" applyFont="1" applyFill="1" applyBorder="1" applyAlignment="1">
      <alignment horizontal="justify" vertical="center" wrapText="1"/>
    </xf>
    <xf numFmtId="0" fontId="29" fillId="0" borderId="101" xfId="0" applyNumberFormat="1" applyFont="1" applyFill="1" applyBorder="1" applyAlignment="1">
      <alignment horizontal="justify" vertical="center" wrapText="1"/>
    </xf>
    <xf numFmtId="0" fontId="29" fillId="0" borderId="64" xfId="0" applyNumberFormat="1" applyFont="1" applyFill="1" applyBorder="1" applyAlignment="1">
      <alignment horizontal="justify" vertical="center" wrapText="1"/>
    </xf>
    <xf numFmtId="0" fontId="29" fillId="0" borderId="82" xfId="0" applyNumberFormat="1" applyFont="1" applyFill="1" applyBorder="1" applyAlignment="1">
      <alignment horizontal="justify" vertical="center" wrapText="1"/>
    </xf>
    <xf numFmtId="10" fontId="32" fillId="0" borderId="85" xfId="36" applyNumberFormat="1" applyFont="1" applyFill="1" applyBorder="1" applyAlignment="1">
      <alignment horizontal="center" vertical="center"/>
    </xf>
    <xf numFmtId="0" fontId="32" fillId="0" borderId="96" xfId="0" applyNumberFormat="1" applyFont="1" applyFill="1" applyBorder="1" applyAlignment="1">
      <alignment horizontal="center" vertical="center"/>
    </xf>
    <xf numFmtId="49" fontId="31" fillId="0" borderId="76" xfId="0" applyNumberFormat="1" applyFont="1" applyFill="1" applyBorder="1" applyAlignment="1">
      <alignment horizontal="right" vertical="center"/>
    </xf>
    <xf numFmtId="49" fontId="31" fillId="0" borderId="67" xfId="0" applyNumberFormat="1" applyFont="1" applyFill="1" applyBorder="1" applyAlignment="1">
      <alignment horizontal="right" vertical="center"/>
    </xf>
    <xf numFmtId="49" fontId="31" fillId="0" borderId="77" xfId="0" applyNumberFormat="1" applyFont="1" applyFill="1" applyBorder="1" applyAlignment="1">
      <alignment horizontal="right" vertical="center"/>
    </xf>
    <xf numFmtId="49" fontId="31" fillId="0" borderId="25" xfId="0" applyNumberFormat="1" applyFont="1" applyFill="1" applyBorder="1" applyAlignment="1">
      <alignment horizontal="right" vertical="center"/>
    </xf>
    <xf numFmtId="49" fontId="31" fillId="0" borderId="26" xfId="0" applyNumberFormat="1" applyFont="1" applyFill="1" applyBorder="1" applyAlignment="1">
      <alignment horizontal="right" vertical="center"/>
    </xf>
    <xf numFmtId="49" fontId="31" fillId="0" borderId="27" xfId="0" applyNumberFormat="1" applyFont="1" applyFill="1" applyBorder="1" applyAlignment="1">
      <alignment horizontal="right" vertical="center"/>
    </xf>
    <xf numFmtId="10" fontId="32" fillId="0" borderId="85" xfId="37" applyNumberFormat="1" applyFont="1" applyFill="1" applyBorder="1" applyAlignment="1">
      <alignment horizontal="center" vertical="center"/>
    </xf>
    <xf numFmtId="167" fontId="32" fillId="0" borderId="99" xfId="34" applyNumberFormat="1" applyFont="1" applyFill="1" applyBorder="1" applyAlignment="1">
      <alignment horizontal="right" vertical="center"/>
    </xf>
    <xf numFmtId="167" fontId="32" fillId="0" borderId="102" xfId="34" applyNumberFormat="1" applyFont="1" applyFill="1" applyBorder="1" applyAlignment="1">
      <alignment horizontal="right" vertical="center"/>
    </xf>
    <xf numFmtId="167" fontId="32" fillId="0" borderId="103" xfId="34" applyNumberFormat="1" applyFont="1" applyFill="1" applyBorder="1" applyAlignment="1">
      <alignment horizontal="right" vertical="center"/>
    </xf>
    <xf numFmtId="167" fontId="32" fillId="0" borderId="28" xfId="34" applyNumberFormat="1" applyFont="1" applyFill="1" applyBorder="1" applyAlignment="1">
      <alignment horizontal="right" vertical="center"/>
    </xf>
    <xf numFmtId="167" fontId="32" fillId="0" borderId="26" xfId="34" applyNumberFormat="1" applyFont="1" applyFill="1" applyBorder="1" applyAlignment="1">
      <alignment horizontal="right" vertical="center"/>
    </xf>
    <xf numFmtId="167" fontId="32" fillId="0" borderId="27" xfId="34" applyNumberFormat="1" applyFont="1" applyFill="1" applyBorder="1" applyAlignment="1">
      <alignment horizontal="right" vertical="center"/>
    </xf>
    <xf numFmtId="166" fontId="48" fillId="0" borderId="96" xfId="0" applyNumberFormat="1" applyFont="1" applyFill="1" applyBorder="1" applyAlignment="1">
      <alignment vertical="center"/>
    </xf>
    <xf numFmtId="49" fontId="27" fillId="0" borderId="76" xfId="34" applyNumberFormat="1" applyFont="1" applyFill="1" applyBorder="1" applyAlignment="1">
      <alignment horizontal="center" vertical="center"/>
    </xf>
    <xf numFmtId="49" fontId="27" fillId="0" borderId="67" xfId="34" applyNumberFormat="1" applyFont="1" applyFill="1" applyBorder="1" applyAlignment="1">
      <alignment horizontal="center" vertical="center"/>
    </xf>
    <xf numFmtId="49" fontId="27" fillId="0" borderId="83" xfId="34" applyNumberFormat="1" applyFont="1" applyFill="1" applyBorder="1" applyAlignment="1">
      <alignment horizontal="center" vertical="center"/>
    </xf>
    <xf numFmtId="49" fontId="27" fillId="0" borderId="104" xfId="34" applyNumberFormat="1" applyFont="1" applyFill="1" applyBorder="1" applyAlignment="1">
      <alignment horizontal="center" vertical="center"/>
    </xf>
    <xf numFmtId="49" fontId="27" fillId="0" borderId="105" xfId="34" applyNumberFormat="1" applyFont="1" applyFill="1" applyBorder="1" applyAlignment="1">
      <alignment horizontal="center" vertical="center"/>
    </xf>
    <xf numFmtId="49" fontId="27" fillId="0" borderId="106" xfId="34" applyNumberFormat="1" applyFont="1" applyFill="1" applyBorder="1" applyAlignment="1">
      <alignment horizontal="center" vertical="center"/>
    </xf>
    <xf numFmtId="49" fontId="28" fillId="0" borderId="107" xfId="34" applyNumberFormat="1" applyFont="1" applyFill="1" applyBorder="1" applyAlignment="1">
      <alignment horizontal="center" vertical="center"/>
    </xf>
    <xf numFmtId="49" fontId="28" fillId="0" borderId="100" xfId="34" applyNumberFormat="1" applyFont="1" applyFill="1" applyBorder="1" applyAlignment="1">
      <alignment horizontal="center" vertical="center"/>
    </xf>
    <xf numFmtId="49" fontId="28" fillId="0" borderId="74" xfId="34" applyNumberFormat="1" applyFont="1" applyFill="1" applyBorder="1" applyAlignment="1">
      <alignment horizontal="center" vertical="center"/>
    </xf>
    <xf numFmtId="49" fontId="28" fillId="0" borderId="64" xfId="34" applyNumberFormat="1" applyFont="1" applyFill="1" applyBorder="1" applyAlignment="1">
      <alignment horizontal="center" vertical="center"/>
    </xf>
    <xf numFmtId="49" fontId="29" fillId="0" borderId="100" xfId="34" applyNumberFormat="1" applyFont="1" applyFill="1" applyBorder="1" applyAlignment="1">
      <alignment horizontal="center" vertical="center"/>
    </xf>
    <xf numFmtId="49" fontId="29" fillId="0" borderId="101" xfId="34" applyNumberFormat="1" applyFont="1" applyFill="1" applyBorder="1" applyAlignment="1">
      <alignment horizontal="center" vertical="center"/>
    </xf>
    <xf numFmtId="49" fontId="29" fillId="0" borderId="64" xfId="34" applyNumberFormat="1" applyFont="1" applyFill="1" applyBorder="1" applyAlignment="1">
      <alignment horizontal="center" vertical="center"/>
    </xf>
    <xf numFmtId="49" fontId="29" fillId="0" borderId="82" xfId="34" applyNumberFormat="1" applyFont="1" applyFill="1" applyBorder="1" applyAlignment="1">
      <alignment horizontal="center" vertical="center"/>
    </xf>
    <xf numFmtId="0" fontId="28" fillId="0" borderId="108" xfId="34" applyNumberFormat="1" applyFont="1" applyFill="1" applyBorder="1" applyAlignment="1">
      <alignment horizontal="center" vertical="center"/>
    </xf>
    <xf numFmtId="0" fontId="28" fillId="0" borderId="100" xfId="34" applyNumberFormat="1" applyFont="1" applyFill="1" applyBorder="1" applyAlignment="1">
      <alignment horizontal="center" vertical="center"/>
    </xf>
    <xf numFmtId="0" fontId="28" fillId="0" borderId="81" xfId="34" applyNumberFormat="1" applyFont="1" applyFill="1" applyBorder="1" applyAlignment="1">
      <alignment horizontal="center" vertical="center"/>
    </xf>
    <xf numFmtId="0" fontId="28" fillId="0" borderId="64" xfId="34" applyNumberFormat="1" applyFont="1" applyFill="1" applyBorder="1" applyAlignment="1">
      <alignment horizontal="center" vertical="center"/>
    </xf>
    <xf numFmtId="0" fontId="29" fillId="0" borderId="27" xfId="34" applyNumberFormat="1" applyFont="1" applyFill="1" applyBorder="1" applyAlignment="1">
      <alignment horizontal="left" vertical="center" wrapText="1"/>
    </xf>
    <xf numFmtId="0" fontId="29" fillId="0" borderId="85" xfId="34" applyNumberFormat="1" applyFont="1" applyFill="1" applyBorder="1" applyAlignment="1">
      <alignment horizontal="left" vertical="center" wrapText="1"/>
    </xf>
    <xf numFmtId="0" fontId="29" fillId="0" borderId="91" xfId="34" applyNumberFormat="1" applyFont="1" applyFill="1" applyBorder="1" applyAlignment="1">
      <alignment horizontal="left" vertical="center" wrapText="1"/>
    </xf>
    <xf numFmtId="0" fontId="29" fillId="0" borderId="88" xfId="34" applyNumberFormat="1" applyFont="1" applyFill="1" applyBorder="1" applyAlignment="1">
      <alignment horizontal="left" vertical="center" wrapText="1"/>
    </xf>
    <xf numFmtId="0" fontId="29" fillId="0" borderId="100" xfId="34" applyNumberFormat="1" applyFont="1" applyFill="1" applyBorder="1" applyAlignment="1">
      <alignment horizontal="center" vertical="center" wrapText="1"/>
    </xf>
    <xf numFmtId="0" fontId="29" fillId="0" borderId="109" xfId="34" applyNumberFormat="1" applyFont="1" applyFill="1" applyBorder="1" applyAlignment="1">
      <alignment horizontal="center" vertical="center" wrapText="1"/>
    </xf>
    <xf numFmtId="0" fontId="29" fillId="0" borderId="64" xfId="34" applyNumberFormat="1" applyFont="1" applyFill="1" applyBorder="1" applyAlignment="1">
      <alignment horizontal="center" vertical="center" wrapText="1"/>
    </xf>
    <xf numFmtId="0" fontId="29" fillId="0" borderId="75" xfId="34" applyNumberFormat="1" applyFont="1" applyFill="1" applyBorder="1" applyAlignment="1">
      <alignment horizontal="center" vertical="center" wrapText="1"/>
    </xf>
    <xf numFmtId="49" fontId="30" fillId="0" borderId="76" xfId="34" applyNumberFormat="1" applyFont="1" applyFill="1" applyBorder="1" applyAlignment="1">
      <alignment horizontal="center" vertical="center" wrapText="1"/>
    </xf>
    <xf numFmtId="49" fontId="30" fillId="0" borderId="67" xfId="34" applyNumberFormat="1" applyFont="1" applyFill="1" applyBorder="1" applyAlignment="1">
      <alignment horizontal="center" vertical="center" wrapText="1"/>
    </xf>
    <xf numFmtId="49" fontId="30" fillId="0" borderId="77" xfId="34" applyNumberFormat="1" applyFont="1" applyFill="1" applyBorder="1" applyAlignment="1">
      <alignment horizontal="center" vertical="center" wrapText="1"/>
    </xf>
    <xf numFmtId="49" fontId="30" fillId="0" borderId="74" xfId="34" applyNumberFormat="1" applyFont="1" applyFill="1" applyBorder="1" applyAlignment="1">
      <alignment horizontal="center" vertical="center" wrapText="1"/>
    </xf>
    <xf numFmtId="49" fontId="30" fillId="0" borderId="64" xfId="34" applyNumberFormat="1" applyFont="1" applyFill="1" applyBorder="1" applyAlignment="1">
      <alignment horizontal="center" vertical="center" wrapText="1"/>
    </xf>
    <xf numFmtId="49" fontId="30" fillId="0" borderId="82" xfId="34" applyNumberFormat="1" applyFont="1" applyFill="1" applyBorder="1" applyAlignment="1">
      <alignment horizontal="center" vertical="center" wrapText="1"/>
    </xf>
    <xf numFmtId="49" fontId="30" fillId="0" borderId="78" xfId="34" applyNumberFormat="1" applyFont="1" applyFill="1" applyBorder="1" applyAlignment="1">
      <alignment horizontal="center" vertical="center" wrapText="1"/>
    </xf>
    <xf numFmtId="49" fontId="30" fillId="0" borderId="81" xfId="34" applyNumberFormat="1" applyFont="1" applyFill="1" applyBorder="1" applyAlignment="1">
      <alignment horizontal="center" vertical="center" wrapText="1"/>
    </xf>
    <xf numFmtId="49" fontId="30" fillId="0" borderId="99" xfId="34" applyNumberFormat="1" applyFont="1" applyFill="1" applyBorder="1" applyAlignment="1">
      <alignment horizontal="center" vertical="center" wrapText="1"/>
    </xf>
    <xf numFmtId="49" fontId="30" fillId="0" borderId="102" xfId="34" applyNumberFormat="1" applyFont="1" applyFill="1" applyBorder="1" applyAlignment="1">
      <alignment horizontal="center" vertical="center" wrapText="1"/>
    </xf>
    <xf numFmtId="49" fontId="30" fillId="0" borderId="103" xfId="34" applyNumberFormat="1" applyFont="1" applyFill="1" applyBorder="1" applyAlignment="1">
      <alignment horizontal="center" vertical="center" wrapText="1"/>
    </xf>
    <xf numFmtId="49" fontId="30" fillId="0" borderId="83" xfId="34" applyNumberFormat="1" applyFont="1" applyFill="1" applyBorder="1" applyAlignment="1">
      <alignment horizontal="center" vertical="center" wrapText="1"/>
    </xf>
    <xf numFmtId="49" fontId="30" fillId="0" borderId="75" xfId="34" applyNumberFormat="1" applyFont="1" applyFill="1" applyBorder="1" applyAlignment="1">
      <alignment horizontal="center" vertical="center" wrapText="1"/>
    </xf>
    <xf numFmtId="49" fontId="30" fillId="0" borderId="90" xfId="34" applyNumberFormat="1" applyFont="1" applyFill="1" applyBorder="1" applyAlignment="1">
      <alignment horizontal="center" vertical="center" wrapText="1"/>
    </xf>
    <xf numFmtId="49" fontId="30" fillId="0" borderId="110" xfId="34" applyNumberFormat="1" applyFont="1" applyFill="1" applyBorder="1" applyAlignment="1">
      <alignment horizontal="center" vertical="center" wrapText="1"/>
    </xf>
    <xf numFmtId="49" fontId="30" fillId="0" borderId="91" xfId="34" applyNumberFormat="1" applyFont="1" applyFill="1" applyBorder="1" applyAlignment="1">
      <alignment horizontal="center" vertical="center" wrapText="1"/>
    </xf>
    <xf numFmtId="49" fontId="31" fillId="0" borderId="111" xfId="34" applyNumberFormat="1" applyFont="1" applyFill="1" applyBorder="1" applyAlignment="1">
      <alignment horizontal="center" vertical="center"/>
    </xf>
    <xf numFmtId="49" fontId="31" fillId="0" borderId="102" xfId="34" applyNumberFormat="1" applyFont="1" applyFill="1" applyBorder="1" applyAlignment="1">
      <alignment horizontal="center" vertical="center"/>
    </xf>
    <xf numFmtId="49" fontId="31" fillId="0" borderId="103" xfId="34" applyNumberFormat="1" applyFont="1" applyFill="1" applyBorder="1" applyAlignment="1">
      <alignment horizontal="center" vertical="center"/>
    </xf>
    <xf numFmtId="0" fontId="32" fillId="0" borderId="96" xfId="34" applyNumberFormat="1" applyFont="1" applyFill="1" applyBorder="1" applyAlignment="1">
      <alignment horizontal="left" vertical="center"/>
    </xf>
    <xf numFmtId="39" fontId="32" fillId="0" borderId="99" xfId="34" applyNumberFormat="1" applyFont="1" applyFill="1" applyBorder="1" applyAlignment="1">
      <alignment horizontal="right" vertical="center"/>
    </xf>
    <xf numFmtId="39" fontId="32" fillId="0" borderId="102" xfId="34" applyNumberFormat="1" applyFont="1" applyFill="1" applyBorder="1" applyAlignment="1">
      <alignment horizontal="right" vertical="center"/>
    </xf>
    <xf numFmtId="39" fontId="32" fillId="0" borderId="103" xfId="34" applyNumberFormat="1" applyFont="1" applyFill="1" applyBorder="1" applyAlignment="1">
      <alignment horizontal="right" vertical="center"/>
    </xf>
    <xf numFmtId="43" fontId="32" fillId="0" borderId="99" xfId="34" applyNumberFormat="1" applyFont="1" applyFill="1" applyBorder="1" applyAlignment="1">
      <alignment horizontal="right" vertical="center"/>
    </xf>
    <xf numFmtId="43" fontId="32" fillId="0" borderId="102" xfId="34" applyNumberFormat="1" applyFont="1" applyFill="1" applyBorder="1" applyAlignment="1">
      <alignment horizontal="right" vertical="center"/>
    </xf>
    <xf numFmtId="43" fontId="32" fillId="0" borderId="103" xfId="34" applyNumberFormat="1" applyFont="1" applyFill="1" applyBorder="1" applyAlignment="1">
      <alignment horizontal="right" vertical="center"/>
    </xf>
    <xf numFmtId="39" fontId="32" fillId="0" borderId="96" xfId="34" applyNumberFormat="1" applyFont="1" applyFill="1" applyBorder="1" applyAlignment="1">
      <alignment horizontal="right" vertical="center"/>
    </xf>
    <xf numFmtId="39" fontId="32" fillId="0" borderId="97" xfId="34" applyNumberFormat="1" applyFont="1" applyFill="1" applyBorder="1" applyAlignment="1">
      <alignment horizontal="right" vertical="center"/>
    </xf>
    <xf numFmtId="49" fontId="31" fillId="0" borderId="25" xfId="34" applyNumberFormat="1" applyFont="1" applyFill="1" applyBorder="1" applyAlignment="1">
      <alignment horizontal="center" vertical="center"/>
    </xf>
    <xf numFmtId="49" fontId="31" fillId="0" borderId="26" xfId="34" applyNumberFormat="1" applyFont="1" applyFill="1" applyBorder="1" applyAlignment="1">
      <alignment horizontal="center" vertical="center"/>
    </xf>
    <xf numFmtId="49" fontId="31" fillId="0" borderId="27" xfId="34" applyNumberFormat="1" applyFont="1" applyFill="1" applyBorder="1" applyAlignment="1">
      <alignment horizontal="center" vertical="center"/>
    </xf>
    <xf numFmtId="39" fontId="32" fillId="0" borderId="28" xfId="34" applyNumberFormat="1" applyFont="1" applyFill="1" applyBorder="1" applyAlignment="1">
      <alignment horizontal="right" vertical="center"/>
    </xf>
    <xf numFmtId="39" fontId="32" fillId="0" borderId="26" xfId="34" applyNumberFormat="1" applyFont="1" applyFill="1" applyBorder="1" applyAlignment="1">
      <alignment horizontal="right" vertical="center"/>
    </xf>
    <xf numFmtId="39" fontId="32" fillId="0" borderId="27" xfId="34" applyNumberFormat="1" applyFont="1" applyFill="1" applyBorder="1" applyAlignment="1">
      <alignment horizontal="right" vertical="center"/>
    </xf>
    <xf numFmtId="43" fontId="32" fillId="0" borderId="28" xfId="34" applyNumberFormat="1" applyFont="1" applyFill="1" applyBorder="1" applyAlignment="1">
      <alignment horizontal="right" vertical="center"/>
    </xf>
    <xf numFmtId="43" fontId="32" fillId="0" borderId="26" xfId="34" applyNumberFormat="1" applyFont="1" applyFill="1" applyBorder="1" applyAlignment="1">
      <alignment horizontal="right" vertical="center"/>
    </xf>
    <xf numFmtId="43" fontId="32" fillId="0" borderId="27" xfId="34" applyNumberFormat="1" applyFont="1" applyFill="1" applyBorder="1" applyAlignment="1">
      <alignment horizontal="right" vertical="center"/>
    </xf>
    <xf numFmtId="0" fontId="32" fillId="0" borderId="28" xfId="34" applyNumberFormat="1" applyFont="1" applyFill="1" applyBorder="1" applyAlignment="1">
      <alignment horizontal="left" vertical="center"/>
    </xf>
    <xf numFmtId="0" fontId="32" fillId="0" borderId="26" xfId="34" applyNumberFormat="1" applyFont="1" applyFill="1" applyBorder="1" applyAlignment="1">
      <alignment horizontal="left" vertical="center"/>
    </xf>
    <xf numFmtId="0" fontId="32" fillId="0" borderId="27" xfId="34" applyNumberFormat="1" applyFont="1" applyFill="1" applyBorder="1" applyAlignment="1">
      <alignment horizontal="left" vertical="center"/>
    </xf>
    <xf numFmtId="39" fontId="32" fillId="0" borderId="29" xfId="34" applyNumberFormat="1" applyFont="1" applyFill="1" applyBorder="1" applyAlignment="1">
      <alignment horizontal="right" vertical="center"/>
    </xf>
    <xf numFmtId="0" fontId="33" fillId="0" borderId="112" xfId="34" applyNumberFormat="1" applyFont="1" applyFill="1" applyBorder="1" applyAlignment="1">
      <alignment horizontal="center" vertical="center"/>
    </xf>
    <xf numFmtId="0" fontId="33" fillId="0" borderId="110" xfId="34" applyNumberFormat="1" applyFont="1" applyFill="1" applyBorder="1" applyAlignment="1">
      <alignment horizontal="center" vertical="center"/>
    </xf>
    <xf numFmtId="0" fontId="33" fillId="0" borderId="91" xfId="34" applyNumberFormat="1" applyFont="1" applyFill="1" applyBorder="1" applyAlignment="1">
      <alignment horizontal="center" vertical="center"/>
    </xf>
    <xf numFmtId="0" fontId="30" fillId="0" borderId="90" xfId="34" applyNumberFormat="1" applyFont="1" applyFill="1" applyBorder="1" applyAlignment="1">
      <alignment horizontal="left" vertical="center"/>
    </xf>
    <xf numFmtId="0" fontId="30" fillId="0" borderId="110" xfId="34" applyNumberFormat="1" applyFont="1" applyFill="1" applyBorder="1" applyAlignment="1">
      <alignment horizontal="left" vertical="center"/>
    </xf>
    <xf numFmtId="0" fontId="30" fillId="0" borderId="91" xfId="34" applyNumberFormat="1" applyFont="1" applyFill="1" applyBorder="1" applyAlignment="1">
      <alignment horizontal="left" vertical="center"/>
    </xf>
    <xf numFmtId="43" fontId="30" fillId="0" borderId="90" xfId="34" applyNumberFormat="1" applyFont="1" applyFill="1" applyBorder="1" applyAlignment="1">
      <alignment horizontal="right" vertical="center"/>
    </xf>
    <xf numFmtId="43" fontId="30" fillId="0" borderId="110" xfId="34" applyNumberFormat="1" applyFont="1" applyFill="1" applyBorder="1" applyAlignment="1">
      <alignment horizontal="right" vertical="center"/>
    </xf>
    <xf numFmtId="43" fontId="30" fillId="0" borderId="113" xfId="34" applyNumberFormat="1" applyFont="1" applyFill="1" applyBorder="1" applyAlignment="1">
      <alignment horizontal="right" vertical="center"/>
    </xf>
    <xf numFmtId="166" fontId="32" fillId="0" borderId="99" xfId="34" applyNumberFormat="1" applyFont="1" applyFill="1" applyBorder="1" applyAlignment="1">
      <alignment horizontal="right" vertical="center"/>
    </xf>
    <xf numFmtId="166" fontId="32" fillId="0" borderId="102" xfId="34" applyNumberFormat="1" applyFont="1" applyFill="1" applyBorder="1" applyAlignment="1">
      <alignment horizontal="right" vertical="center"/>
    </xf>
    <xf numFmtId="166" fontId="32" fillId="0" borderId="103" xfId="34" applyNumberFormat="1" applyFont="1" applyFill="1" applyBorder="1" applyAlignment="1">
      <alignment horizontal="right" vertical="center"/>
    </xf>
    <xf numFmtId="166" fontId="32" fillId="0" borderId="96" xfId="34" applyNumberFormat="1" applyFont="1" applyFill="1" applyBorder="1" applyAlignment="1">
      <alignment horizontal="right" vertical="center"/>
    </xf>
    <xf numFmtId="166" fontId="32" fillId="0" borderId="28" xfId="34" applyNumberFormat="1" applyFont="1" applyFill="1" applyBorder="1" applyAlignment="1">
      <alignment horizontal="right" vertical="center"/>
    </xf>
    <xf numFmtId="166" fontId="32" fillId="0" borderId="26" xfId="34" applyNumberFormat="1" applyFont="1" applyFill="1" applyBorder="1" applyAlignment="1">
      <alignment horizontal="right" vertical="center"/>
    </xf>
    <xf numFmtId="166" fontId="32" fillId="0" borderId="27" xfId="34" applyNumberFormat="1" applyFont="1" applyFill="1" applyBorder="1" applyAlignment="1">
      <alignment horizontal="right" vertical="center"/>
    </xf>
    <xf numFmtId="0" fontId="33" fillId="0" borderId="25" xfId="34" applyNumberFormat="1" applyFont="1" applyFill="1" applyBorder="1" applyAlignment="1">
      <alignment horizontal="center" vertical="center"/>
    </xf>
    <xf numFmtId="0" fontId="33" fillId="0" borderId="26" xfId="34" applyNumberFormat="1" applyFont="1" applyFill="1" applyBorder="1" applyAlignment="1">
      <alignment horizontal="center" vertical="center"/>
    </xf>
    <xf numFmtId="49" fontId="32" fillId="0" borderId="26" xfId="34" applyNumberFormat="1" applyFont="1" applyFill="1" applyBorder="1" applyAlignment="1">
      <alignment horizontal="left" vertical="center"/>
    </xf>
    <xf numFmtId="49" fontId="32" fillId="0" borderId="27" xfId="34" applyNumberFormat="1" applyFont="1" applyFill="1" applyBorder="1" applyAlignment="1">
      <alignment horizontal="left" vertical="center"/>
    </xf>
    <xf numFmtId="49" fontId="32" fillId="0" borderId="28" xfId="34" applyNumberFormat="1" applyFont="1" applyFill="1" applyBorder="1" applyAlignment="1">
      <alignment horizontal="center" vertical="center"/>
    </xf>
    <xf numFmtId="49" fontId="32" fillId="0" borderId="26" xfId="34" applyNumberFormat="1" applyFont="1" applyFill="1" applyBorder="1" applyAlignment="1">
      <alignment horizontal="center" vertical="center"/>
    </xf>
    <xf numFmtId="49" fontId="32" fillId="0" borderId="27" xfId="34" applyNumberFormat="1" applyFont="1" applyFill="1" applyBorder="1" applyAlignment="1">
      <alignment horizontal="center" vertical="center"/>
    </xf>
    <xf numFmtId="43" fontId="32" fillId="0" borderId="28" xfId="34" applyNumberFormat="1" applyFont="1" applyFill="1" applyBorder="1" applyAlignment="1">
      <alignment horizontal="center" vertical="center"/>
    </xf>
    <xf numFmtId="43" fontId="32" fillId="0" borderId="26" xfId="34" applyNumberFormat="1" applyFont="1" applyFill="1" applyBorder="1" applyAlignment="1">
      <alignment horizontal="center" vertical="center"/>
    </xf>
    <xf numFmtId="43" fontId="32" fillId="0" borderId="29" xfId="34" applyNumberFormat="1" applyFont="1" applyFill="1" applyBorder="1" applyAlignment="1">
      <alignment horizontal="center" vertical="center"/>
    </xf>
    <xf numFmtId="49" fontId="30" fillId="0" borderId="110" xfId="34" applyNumberFormat="1" applyFont="1" applyFill="1" applyBorder="1" applyAlignment="1">
      <alignment horizontal="left" vertical="center"/>
    </xf>
    <xf numFmtId="49" fontId="30" fillId="0" borderId="91" xfId="34" applyNumberFormat="1" applyFont="1" applyFill="1" applyBorder="1" applyAlignment="1">
      <alignment horizontal="left" vertical="center"/>
    </xf>
    <xf numFmtId="0" fontId="32" fillId="0" borderId="111" xfId="34" applyNumberFormat="1" applyFont="1" applyFill="1" applyBorder="1" applyAlignment="1">
      <alignment horizontal="center" vertical="center"/>
    </xf>
    <xf numFmtId="0" fontId="32" fillId="0" borderId="102" xfId="34" applyNumberFormat="1" applyFont="1" applyFill="1" applyBorder="1" applyAlignment="1">
      <alignment horizontal="center" vertical="center"/>
    </xf>
    <xf numFmtId="49" fontId="29" fillId="0" borderId="90" xfId="34" applyNumberFormat="1" applyFont="1" applyFill="1" applyBorder="1" applyAlignment="1">
      <alignment horizontal="left" vertical="center"/>
    </xf>
    <xf numFmtId="49" fontId="29" fillId="0" borderId="110" xfId="34" applyNumberFormat="1" applyFont="1" applyFill="1" applyBorder="1" applyAlignment="1">
      <alignment horizontal="left" vertical="center"/>
    </xf>
    <xf numFmtId="49" fontId="29" fillId="0" borderId="91" xfId="34" applyNumberFormat="1" applyFont="1" applyFill="1" applyBorder="1" applyAlignment="1">
      <alignment horizontal="left" vertical="center"/>
    </xf>
    <xf numFmtId="43" fontId="30" fillId="0" borderId="99" xfId="34" applyNumberFormat="1" applyFont="1" applyFill="1" applyBorder="1" applyAlignment="1">
      <alignment horizontal="center" vertical="center"/>
    </xf>
    <xf numFmtId="43" fontId="30" fillId="0" borderId="102" xfId="34" applyNumberFormat="1" applyFont="1" applyFill="1" applyBorder="1" applyAlignment="1">
      <alignment horizontal="center" vertical="center"/>
    </xf>
    <xf numFmtId="43" fontId="30" fillId="0" borderId="114" xfId="34" applyNumberFormat="1" applyFont="1" applyFill="1" applyBorder="1" applyAlignment="1">
      <alignment horizontal="center" vertical="center"/>
    </xf>
    <xf numFmtId="49" fontId="30" fillId="0" borderId="112" xfId="34" applyNumberFormat="1" applyFont="1" applyFill="1" applyBorder="1" applyAlignment="1">
      <alignment horizontal="left" vertical="center"/>
    </xf>
    <xf numFmtId="43" fontId="29" fillId="0" borderId="90" xfId="34" applyNumberFormat="1" applyFont="1" applyFill="1" applyBorder="1" applyAlignment="1">
      <alignment horizontal="right" vertical="center"/>
    </xf>
    <xf numFmtId="43" fontId="29" fillId="0" borderId="110" xfId="34" applyNumberFormat="1" applyFont="1" applyFill="1" applyBorder="1" applyAlignment="1">
      <alignment horizontal="right" vertical="center"/>
    </xf>
    <xf numFmtId="43" fontId="29" fillId="0" borderId="113" xfId="34" applyNumberFormat="1" applyFont="1" applyFill="1" applyBorder="1" applyAlignment="1">
      <alignment horizontal="right" vertical="center"/>
    </xf>
    <xf numFmtId="0" fontId="32" fillId="0" borderId="99" xfId="34" applyNumberFormat="1" applyFont="1" applyFill="1" applyBorder="1" applyAlignment="1">
      <alignment horizontal="center" vertical="center"/>
    </xf>
    <xf numFmtId="0" fontId="32" fillId="0" borderId="103" xfId="34" applyNumberFormat="1" applyFont="1" applyFill="1" applyBorder="1" applyAlignment="1">
      <alignment horizontal="center" vertical="center"/>
    </xf>
    <xf numFmtId="166" fontId="32" fillId="0" borderId="97" xfId="34" applyNumberFormat="1" applyFont="1" applyFill="1" applyBorder="1" applyAlignment="1">
      <alignment horizontal="right" vertical="center"/>
    </xf>
    <xf numFmtId="0" fontId="32" fillId="0" borderId="28" xfId="34" applyNumberFormat="1" applyFont="1" applyFill="1" applyBorder="1" applyAlignment="1">
      <alignment horizontal="center" vertical="center"/>
    </xf>
    <xf numFmtId="0" fontId="32" fillId="0" borderId="26" xfId="34" applyNumberFormat="1" applyFont="1" applyFill="1" applyBorder="1" applyAlignment="1">
      <alignment horizontal="center" vertical="center"/>
    </xf>
    <xf numFmtId="0" fontId="32" fillId="0" borderId="27" xfId="34" applyNumberFormat="1" applyFont="1" applyFill="1" applyBorder="1" applyAlignment="1">
      <alignment horizontal="center" vertical="center"/>
    </xf>
    <xf numFmtId="166" fontId="32" fillId="0" borderId="29" xfId="34" applyNumberFormat="1" applyFont="1" applyFill="1" applyBorder="1" applyAlignment="1">
      <alignment horizontal="right" vertical="center"/>
    </xf>
    <xf numFmtId="0" fontId="32" fillId="0" borderId="96" xfId="34" applyNumberFormat="1" applyFont="1" applyFill="1" applyBorder="1" applyAlignment="1">
      <alignment vertical="center"/>
    </xf>
    <xf numFmtId="166" fontId="32" fillId="0" borderId="99" xfId="34" applyNumberFormat="1" applyFont="1" applyFill="1" applyBorder="1" applyAlignment="1">
      <alignment horizontal="center" vertical="center"/>
    </xf>
    <xf numFmtId="166" fontId="32" fillId="0" borderId="102" xfId="34" applyNumberFormat="1" applyFont="1" applyFill="1" applyBorder="1" applyAlignment="1">
      <alignment horizontal="center" vertical="center"/>
    </xf>
    <xf numFmtId="166" fontId="32" fillId="0" borderId="103" xfId="34" applyNumberFormat="1" applyFont="1" applyFill="1" applyBorder="1" applyAlignment="1">
      <alignment horizontal="center" vertical="center"/>
    </xf>
    <xf numFmtId="166" fontId="32" fillId="0" borderId="99" xfId="34" applyNumberFormat="1" applyFont="1" applyFill="1" applyBorder="1" applyAlignment="1">
      <alignment vertical="center"/>
    </xf>
    <xf numFmtId="166" fontId="32" fillId="0" borderId="102" xfId="34" applyNumberFormat="1" applyFont="1" applyFill="1" applyBorder="1" applyAlignment="1">
      <alignment vertical="center"/>
    </xf>
    <xf numFmtId="166" fontId="32" fillId="0" borderId="103" xfId="34" applyNumberFormat="1" applyFont="1" applyFill="1" applyBorder="1" applyAlignment="1">
      <alignment vertical="center"/>
    </xf>
    <xf numFmtId="166" fontId="32" fillId="0" borderId="114" xfId="34" applyNumberFormat="1" applyFont="1" applyFill="1" applyBorder="1" applyAlignment="1">
      <alignment horizontal="right" vertical="center"/>
    </xf>
    <xf numFmtId="0" fontId="32" fillId="0" borderId="28" xfId="34" applyNumberFormat="1" applyFont="1" applyFill="1" applyBorder="1" applyAlignment="1">
      <alignment vertical="center"/>
    </xf>
    <xf numFmtId="0" fontId="32" fillId="0" borderId="26" xfId="34" applyNumberFormat="1" applyFont="1" applyFill="1" applyBorder="1" applyAlignment="1">
      <alignment vertical="center"/>
    </xf>
    <xf numFmtId="0" fontId="32" fillId="0" borderId="27" xfId="34" applyNumberFormat="1" applyFont="1" applyFill="1" applyBorder="1" applyAlignment="1">
      <alignment vertical="center"/>
    </xf>
    <xf numFmtId="166" fontId="32" fillId="0" borderId="28" xfId="34" applyNumberFormat="1" applyFont="1" applyFill="1" applyBorder="1" applyAlignment="1">
      <alignment horizontal="center" vertical="center"/>
    </xf>
    <xf numFmtId="166" fontId="32" fillId="0" borderId="26" xfId="34" applyNumberFormat="1" applyFont="1" applyFill="1" applyBorder="1" applyAlignment="1">
      <alignment horizontal="center" vertical="center"/>
    </xf>
    <xf numFmtId="166" fontId="32" fillId="0" borderId="27" xfId="34" applyNumberFormat="1" applyFont="1" applyFill="1" applyBorder="1" applyAlignment="1">
      <alignment horizontal="center" vertical="center"/>
    </xf>
    <xf numFmtId="166" fontId="32" fillId="0" borderId="28" xfId="34" applyNumberFormat="1" applyFont="1" applyFill="1" applyBorder="1" applyAlignment="1">
      <alignment vertical="center"/>
    </xf>
    <xf numFmtId="166" fontId="32" fillId="0" borderId="26" xfId="34" applyNumberFormat="1" applyFont="1" applyFill="1" applyBorder="1" applyAlignment="1">
      <alignment vertical="center"/>
    </xf>
    <xf numFmtId="166" fontId="32" fillId="0" borderId="27" xfId="34" applyNumberFormat="1" applyFont="1" applyFill="1" applyBorder="1" applyAlignment="1">
      <alignment vertical="center"/>
    </xf>
    <xf numFmtId="0" fontId="7" fillId="0" borderId="0" xfId="34" applyNumberFormat="1" applyFont="1" applyFill="1" applyBorder="1" applyAlignment="1">
      <alignment horizontal="center" vertical="center"/>
    </xf>
    <xf numFmtId="0" fontId="7" fillId="0" borderId="40" xfId="34" applyNumberFormat="1" applyFont="1" applyFill="1" applyBorder="1" applyAlignment="1">
      <alignment horizontal="center" vertical="center"/>
    </xf>
    <xf numFmtId="0" fontId="34" fillId="0" borderId="111" xfId="34" applyNumberFormat="1" applyFont="1" applyFill="1" applyBorder="1" applyAlignment="1">
      <alignment horizontal="left" vertical="center"/>
    </xf>
    <xf numFmtId="0" fontId="34" fillId="0" borderId="102" xfId="34" applyNumberFormat="1" applyFont="1" applyFill="1" applyBorder="1" applyAlignment="1">
      <alignment horizontal="left" vertical="center"/>
    </xf>
    <xf numFmtId="0" fontId="34" fillId="0" borderId="103" xfId="34" applyNumberFormat="1" applyFont="1" applyFill="1" applyBorder="1" applyAlignment="1">
      <alignment horizontal="left" vertical="center"/>
    </xf>
    <xf numFmtId="43" fontId="29" fillId="0" borderId="99" xfId="34" applyNumberFormat="1" applyFont="1" applyFill="1" applyBorder="1" applyAlignment="1">
      <alignment horizontal="right" vertical="center"/>
    </xf>
    <xf numFmtId="43" fontId="29" fillId="0" borderId="102" xfId="34" applyNumberFormat="1" applyFont="1" applyFill="1" applyBorder="1" applyAlignment="1">
      <alignment horizontal="right" vertical="center"/>
    </xf>
    <xf numFmtId="43" fontId="29" fillId="0" borderId="114" xfId="34" applyNumberFormat="1" applyFont="1" applyFill="1" applyBorder="1" applyAlignment="1">
      <alignment horizontal="right" vertical="center"/>
    </xf>
    <xf numFmtId="0" fontId="34" fillId="0" borderId="25" xfId="34" applyNumberFormat="1" applyFont="1" applyFill="1" applyBorder="1" applyAlignment="1">
      <alignment horizontal="left" vertical="center"/>
    </xf>
    <xf numFmtId="0" fontId="34" fillId="0" borderId="26" xfId="34" applyNumberFormat="1" applyFont="1" applyFill="1" applyBorder="1" applyAlignment="1">
      <alignment horizontal="left" vertical="center"/>
    </xf>
    <xf numFmtId="10" fontId="35" fillId="0" borderId="26" xfId="34" applyNumberFormat="1" applyFont="1" applyFill="1" applyBorder="1" applyAlignment="1">
      <alignment horizontal="left" vertical="center"/>
    </xf>
    <xf numFmtId="10" fontId="35" fillId="0" borderId="27" xfId="34" applyNumberFormat="1" applyFont="1" applyFill="1" applyBorder="1" applyAlignment="1">
      <alignment horizontal="left" vertical="center"/>
    </xf>
    <xf numFmtId="43" fontId="36" fillId="0" borderId="28" xfId="34" applyNumberFormat="1" applyFont="1" applyFill="1" applyBorder="1" applyAlignment="1">
      <alignment horizontal="right" vertical="center"/>
    </xf>
    <xf numFmtId="43" fontId="36" fillId="0" borderId="26" xfId="34" applyNumberFormat="1" applyFont="1" applyFill="1" applyBorder="1" applyAlignment="1">
      <alignment horizontal="right" vertical="center"/>
    </xf>
    <xf numFmtId="43" fontId="36" fillId="0" borderId="29" xfId="34" applyNumberFormat="1" applyFont="1" applyFill="1" applyBorder="1" applyAlignment="1">
      <alignment horizontal="right" vertical="center"/>
    </xf>
    <xf numFmtId="0" fontId="7" fillId="0" borderId="0" xfId="34" applyNumberFormat="1" applyFont="1" applyFill="1" applyAlignment="1">
      <alignment horizontal="center" vertical="center"/>
    </xf>
    <xf numFmtId="0" fontId="37" fillId="0" borderId="112" xfId="34" applyNumberFormat="1" applyFont="1" applyFill="1" applyBorder="1" applyAlignment="1">
      <alignment horizontal="left"/>
    </xf>
    <xf numFmtId="0" fontId="37" fillId="0" borderId="110" xfId="34" applyNumberFormat="1" applyFont="1" applyFill="1" applyBorder="1" applyAlignment="1">
      <alignment horizontal="left"/>
    </xf>
    <xf numFmtId="0" fontId="37" fillId="0" borderId="91" xfId="34" applyNumberFormat="1" applyFont="1" applyFill="1" applyBorder="1" applyAlignment="1">
      <alignment horizontal="left"/>
    </xf>
    <xf numFmtId="43" fontId="38" fillId="0" borderId="90" xfId="34" applyNumberFormat="1" applyFont="1" applyFill="1" applyBorder="1" applyAlignment="1">
      <alignment horizontal="right" vertical="center"/>
    </xf>
    <xf numFmtId="43" fontId="38" fillId="0" borderId="110" xfId="34" applyNumberFormat="1" applyFont="1" applyFill="1" applyBorder="1" applyAlignment="1">
      <alignment horizontal="right" vertical="center"/>
    </xf>
    <xf numFmtId="43" fontId="38" fillId="0" borderId="113" xfId="34" applyNumberFormat="1" applyFont="1" applyFill="1" applyBorder="1" applyAlignment="1">
      <alignment horizontal="right" vertical="center"/>
    </xf>
    <xf numFmtId="0" fontId="30" fillId="0" borderId="76" xfId="34" applyNumberFormat="1" applyFont="1" applyFill="1" applyBorder="1" applyAlignment="1">
      <alignment horizontal="left"/>
    </xf>
    <xf numFmtId="0" fontId="30" fillId="0" borderId="67" xfId="34" applyNumberFormat="1" applyFont="1" applyFill="1" applyBorder="1" applyAlignment="1">
      <alignment horizontal="left"/>
    </xf>
    <xf numFmtId="49" fontId="32" fillId="0" borderId="67" xfId="34" applyNumberFormat="1" applyFont="1" applyFill="1" applyBorder="1" applyAlignment="1">
      <alignment horizontal="center" vertical="center"/>
    </xf>
    <xf numFmtId="49" fontId="32" fillId="0" borderId="83" xfId="34" applyNumberFormat="1" applyFont="1" applyFill="1" applyBorder="1" applyAlignment="1">
      <alignment horizontal="center" vertical="center"/>
    </xf>
    <xf numFmtId="49" fontId="32" fillId="0" borderId="0" xfId="34" applyNumberFormat="1" applyFont="1" applyFill="1" applyBorder="1" applyAlignment="1">
      <alignment horizontal="center" vertical="center"/>
    </xf>
    <xf numFmtId="49" fontId="32" fillId="0" borderId="40" xfId="34" applyNumberFormat="1" applyFont="1" applyFill="1" applyBorder="1" applyAlignment="1">
      <alignment horizontal="center" vertical="center"/>
    </xf>
    <xf numFmtId="0" fontId="32" fillId="0" borderId="84" xfId="34" applyNumberFormat="1" applyFont="1" applyFill="1" applyBorder="1" applyAlignment="1">
      <alignment horizontal="center" vertical="center"/>
    </xf>
    <xf numFmtId="0" fontId="32" fillId="0" borderId="0" xfId="34" applyNumberFormat="1" applyFont="1" applyFill="1" applyBorder="1" applyAlignment="1">
      <alignment horizontal="center" vertical="center"/>
    </xf>
    <xf numFmtId="0" fontId="34" fillId="0" borderId="0" xfId="34" applyNumberFormat="1" applyFont="1" applyFill="1" applyBorder="1" applyAlignment="1">
      <alignment horizontal="left" vertical="center" wrapText="1"/>
    </xf>
    <xf numFmtId="0" fontId="34" fillId="0" borderId="80" xfId="34" applyNumberFormat="1" applyFont="1" applyFill="1" applyBorder="1" applyAlignment="1">
      <alignment horizontal="left" vertical="center" wrapText="1"/>
    </xf>
    <xf numFmtId="0" fontId="34" fillId="0" borderId="84" xfId="34" applyNumberFormat="1" applyFont="1" applyFill="1" applyBorder="1" applyAlignment="1">
      <alignment horizontal="left" vertical="center" wrapText="1"/>
    </xf>
    <xf numFmtId="0" fontId="34" fillId="0" borderId="74" xfId="34" applyNumberFormat="1" applyFont="1" applyFill="1" applyBorder="1" applyAlignment="1">
      <alignment horizontal="left" vertical="center"/>
    </xf>
    <xf numFmtId="0" fontId="34" fillId="0" borderId="64" xfId="34" applyNumberFormat="1" applyFont="1" applyFill="1" applyBorder="1" applyAlignment="1">
      <alignment horizontal="left" vertical="center"/>
    </xf>
    <xf numFmtId="0" fontId="32" fillId="0" borderId="74" xfId="34" applyNumberFormat="1" applyFont="1" applyFill="1" applyBorder="1" applyAlignment="1">
      <alignment horizontal="center" vertical="center"/>
    </xf>
    <xf numFmtId="0" fontId="32" fillId="0" borderId="64" xfId="34" applyNumberFormat="1" applyFont="1" applyFill="1" applyBorder="1" applyAlignment="1">
      <alignment horizontal="center" vertical="center"/>
    </xf>
    <xf numFmtId="49" fontId="32" fillId="0" borderId="64" xfId="34" applyNumberFormat="1" applyFont="1" applyFill="1" applyBorder="1" applyAlignment="1">
      <alignment horizontal="center" vertical="center"/>
    </xf>
    <xf numFmtId="49" fontId="32" fillId="0" borderId="75" xfId="34" applyNumberFormat="1" applyFont="1" applyFill="1" applyBorder="1" applyAlignment="1">
      <alignment horizontal="center" vertical="center"/>
    </xf>
    <xf numFmtId="0" fontId="34" fillId="0" borderId="76" xfId="34" applyNumberFormat="1" applyFont="1" applyFill="1" applyBorder="1" applyAlignment="1">
      <alignment horizontal="left" vertical="center" wrapText="1"/>
    </xf>
    <xf numFmtId="0" fontId="34" fillId="0" borderId="67" xfId="34" applyNumberFormat="1" applyFont="1" applyFill="1" applyBorder="1" applyAlignment="1">
      <alignment horizontal="left" vertical="center" wrapText="1"/>
    </xf>
    <xf numFmtId="0" fontId="34" fillId="0" borderId="77" xfId="34" applyNumberFormat="1" applyFont="1" applyFill="1" applyBorder="1" applyAlignment="1">
      <alignment horizontal="left" vertical="center" wrapText="1"/>
    </xf>
    <xf numFmtId="0" fontId="34" fillId="0" borderId="78" xfId="34" applyNumberFormat="1" applyFont="1" applyFill="1" applyBorder="1" applyAlignment="1">
      <alignment horizontal="center" vertical="center" wrapText="1"/>
    </xf>
    <xf numFmtId="0" fontId="34" fillId="0" borderId="67" xfId="34" applyNumberFormat="1" applyFont="1" applyFill="1" applyBorder="1" applyAlignment="1">
      <alignment horizontal="center" vertical="center" wrapText="1"/>
    </xf>
    <xf numFmtId="0" fontId="34" fillId="0" borderId="83" xfId="34" applyNumberFormat="1" applyFont="1" applyFill="1" applyBorder="1" applyAlignment="1">
      <alignment horizontal="center" vertical="center" wrapText="1"/>
    </xf>
    <xf numFmtId="0" fontId="34" fillId="0" borderId="79" xfId="34" applyNumberFormat="1" applyFont="1" applyFill="1" applyBorder="1" applyAlignment="1">
      <alignment horizontal="center" vertical="center" wrapText="1"/>
    </xf>
    <xf numFmtId="0" fontId="34" fillId="0" borderId="0" xfId="34" applyNumberFormat="1" applyFont="1" applyFill="1" applyBorder="1" applyAlignment="1">
      <alignment horizontal="center" vertical="center" wrapText="1"/>
    </xf>
    <xf numFmtId="0" fontId="34" fillId="0" borderId="40" xfId="34" applyNumberFormat="1" applyFont="1" applyFill="1" applyBorder="1" applyAlignment="1">
      <alignment horizontal="center" vertical="center" wrapText="1"/>
    </xf>
    <xf numFmtId="0" fontId="34" fillId="0" borderId="81" xfId="34" applyNumberFormat="1" applyFont="1" applyFill="1" applyBorder="1" applyAlignment="1">
      <alignment horizontal="center" vertical="center" wrapText="1"/>
    </xf>
    <xf numFmtId="0" fontId="34" fillId="0" borderId="64" xfId="34" applyNumberFormat="1" applyFont="1" applyFill="1" applyBorder="1" applyAlignment="1">
      <alignment horizontal="center" vertical="center" wrapText="1"/>
    </xf>
    <xf numFmtId="0" fontId="34" fillId="0" borderId="75" xfId="34" applyNumberFormat="1" applyFont="1" applyFill="1" applyBorder="1" applyAlignment="1">
      <alignment horizontal="center" vertical="center" wrapText="1"/>
    </xf>
    <xf numFmtId="43" fontId="36" fillId="0" borderId="28" xfId="0" applyNumberFormat="1" applyFont="1" applyFill="1" applyBorder="1" applyAlignment="1">
      <alignment horizontal="right" vertical="center"/>
    </xf>
    <xf numFmtId="43" fontId="36" fillId="0" borderId="26" xfId="0" applyNumberFormat="1" applyFont="1" applyFill="1" applyBorder="1" applyAlignment="1">
      <alignment horizontal="right" vertical="center"/>
    </xf>
    <xf numFmtId="43" fontId="36" fillId="0" borderId="29" xfId="0" applyNumberFormat="1" applyFont="1" applyFill="1" applyBorder="1" applyAlignment="1">
      <alignment horizontal="right" vertical="center"/>
    </xf>
    <xf numFmtId="0" fontId="37" fillId="0" borderId="112" xfId="0" applyNumberFormat="1" applyFont="1" applyFill="1" applyBorder="1" applyAlignment="1">
      <alignment horizontal="left"/>
    </xf>
    <xf numFmtId="0" fontId="37" fillId="0" borderId="110" xfId="0" applyNumberFormat="1" applyFont="1" applyFill="1" applyBorder="1" applyAlignment="1">
      <alignment horizontal="left"/>
    </xf>
    <xf numFmtId="0" fontId="37" fillId="0" borderId="91" xfId="0" applyNumberFormat="1" applyFont="1" applyFill="1" applyBorder="1" applyAlignment="1">
      <alignment horizontal="left"/>
    </xf>
    <xf numFmtId="43" fontId="38" fillId="0" borderId="90" xfId="0" applyNumberFormat="1" applyFont="1" applyFill="1" applyBorder="1" applyAlignment="1">
      <alignment horizontal="right" vertical="center"/>
    </xf>
    <xf numFmtId="43" fontId="38" fillId="0" borderId="110" xfId="0" applyNumberFormat="1" applyFont="1" applyFill="1" applyBorder="1" applyAlignment="1">
      <alignment horizontal="right" vertical="center"/>
    </xf>
    <xf numFmtId="43" fontId="38" fillId="0" borderId="113" xfId="0" applyNumberFormat="1" applyFont="1" applyFill="1" applyBorder="1" applyAlignment="1">
      <alignment horizontal="right" vertical="center"/>
    </xf>
    <xf numFmtId="167" fontId="32" fillId="0" borderId="28" xfId="0" applyNumberFormat="1" applyFont="1" applyFill="1" applyBorder="1" applyAlignment="1">
      <alignment horizontal="right" vertical="center"/>
    </xf>
    <xf numFmtId="167" fontId="32" fillId="0" borderId="26" xfId="0" applyNumberFormat="1" applyFont="1" applyFill="1" applyBorder="1" applyAlignment="1">
      <alignment horizontal="right" vertical="center"/>
    </xf>
    <xf numFmtId="167" fontId="32" fillId="0" borderId="27" xfId="0" applyNumberFormat="1" applyFont="1" applyFill="1" applyBorder="1" applyAlignment="1">
      <alignment horizontal="right" vertical="center"/>
    </xf>
    <xf numFmtId="166" fontId="32" fillId="0" borderId="28" xfId="0" applyNumberFormat="1" applyFont="1" applyFill="1" applyBorder="1" applyAlignment="1">
      <alignment horizontal="right" vertical="center"/>
    </xf>
    <xf numFmtId="166" fontId="32" fillId="0" borderId="26" xfId="0" applyNumberFormat="1" applyFont="1" applyFill="1" applyBorder="1" applyAlignment="1">
      <alignment horizontal="right" vertical="center"/>
    </xf>
    <xf numFmtId="166" fontId="32" fillId="0" borderId="29" xfId="0" applyNumberFormat="1" applyFont="1" applyFill="1" applyBorder="1" applyAlignment="1">
      <alignment horizontal="right" vertical="center"/>
    </xf>
    <xf numFmtId="0" fontId="33" fillId="0" borderId="112" xfId="0" applyNumberFormat="1" applyFont="1" applyFill="1" applyBorder="1" applyAlignment="1">
      <alignment horizontal="center" vertical="center"/>
    </xf>
    <xf numFmtId="0" fontId="33" fillId="0" borderId="110" xfId="0" applyNumberFormat="1" applyFont="1" applyFill="1" applyBorder="1" applyAlignment="1">
      <alignment horizontal="center" vertical="center"/>
    </xf>
    <xf numFmtId="49" fontId="30" fillId="0" borderId="110" xfId="0" applyNumberFormat="1" applyFont="1" applyFill="1" applyBorder="1" applyAlignment="1">
      <alignment horizontal="left" vertical="center"/>
    </xf>
    <xf numFmtId="43" fontId="30" fillId="0" borderId="110" xfId="0" applyNumberFormat="1" applyFont="1" applyFill="1" applyBorder="1" applyAlignment="1">
      <alignment horizontal="right" vertical="center"/>
    </xf>
    <xf numFmtId="43" fontId="30" fillId="0" borderId="113" xfId="0" applyNumberFormat="1" applyFont="1" applyFill="1" applyBorder="1" applyAlignment="1">
      <alignment horizontal="right" vertical="center"/>
    </xf>
    <xf numFmtId="0" fontId="7" fillId="0" borderId="40" xfId="0" applyNumberFormat="1" applyFont="1" applyFill="1" applyBorder="1" applyAlignment="1">
      <alignment horizontal="center" vertical="center"/>
    </xf>
    <xf numFmtId="0" fontId="34" fillId="0" borderId="111" xfId="0" applyNumberFormat="1" applyFont="1" applyFill="1" applyBorder="1" applyAlignment="1">
      <alignment horizontal="left" vertical="center"/>
    </xf>
    <xf numFmtId="0" fontId="34" fillId="0" borderId="102" xfId="0" applyNumberFormat="1" applyFont="1" applyFill="1" applyBorder="1" applyAlignment="1">
      <alignment horizontal="left" vertical="center"/>
    </xf>
    <xf numFmtId="0" fontId="34" fillId="0" borderId="103" xfId="0" applyNumberFormat="1" applyFont="1" applyFill="1" applyBorder="1" applyAlignment="1">
      <alignment horizontal="left" vertical="center"/>
    </xf>
    <xf numFmtId="43" fontId="29" fillId="0" borderId="99" xfId="0" applyNumberFormat="1" applyFont="1" applyFill="1" applyBorder="1" applyAlignment="1">
      <alignment horizontal="right" vertical="center"/>
    </xf>
    <xf numFmtId="43" fontId="29" fillId="0" borderId="102" xfId="0" applyNumberFormat="1" applyFont="1" applyFill="1" applyBorder="1" applyAlignment="1">
      <alignment horizontal="right" vertical="center"/>
    </xf>
    <xf numFmtId="43" fontId="29" fillId="0" borderId="114" xfId="0" applyNumberFormat="1" applyFont="1" applyFill="1" applyBorder="1" applyAlignment="1">
      <alignment horizontal="right" vertical="center"/>
    </xf>
    <xf numFmtId="0" fontId="34" fillId="0" borderId="25" xfId="0" applyNumberFormat="1" applyFont="1" applyFill="1" applyBorder="1" applyAlignment="1">
      <alignment horizontal="left" vertical="center"/>
    </xf>
    <xf numFmtId="0" fontId="34" fillId="0" borderId="26" xfId="0" applyNumberFormat="1" applyFont="1" applyFill="1" applyBorder="1" applyAlignment="1">
      <alignment horizontal="left" vertical="center"/>
    </xf>
    <xf numFmtId="166" fontId="32" fillId="0" borderId="27" xfId="0" applyNumberFormat="1" applyFont="1" applyFill="1" applyBorder="1" applyAlignment="1">
      <alignment horizontal="right" vertical="center"/>
    </xf>
    <xf numFmtId="49" fontId="31" fillId="0" borderId="25" xfId="0" applyNumberFormat="1" applyFont="1" applyFill="1" applyBorder="1" applyAlignment="1">
      <alignment horizontal="center" vertical="center"/>
    </xf>
    <xf numFmtId="49" fontId="31" fillId="0" borderId="26" xfId="0" applyNumberFormat="1" applyFont="1" applyFill="1" applyBorder="1" applyAlignment="1">
      <alignment horizontal="center" vertical="center"/>
    </xf>
    <xf numFmtId="49" fontId="31" fillId="0" borderId="27" xfId="0" applyNumberFormat="1" applyFont="1" applyFill="1" applyBorder="1" applyAlignment="1">
      <alignment horizontal="center" vertical="center"/>
    </xf>
    <xf numFmtId="0" fontId="32" fillId="0" borderId="28" xfId="0" applyNumberFormat="1" applyFont="1" applyFill="1" applyBorder="1" applyAlignment="1">
      <alignment vertical="center"/>
    </xf>
    <xf numFmtId="0" fontId="32" fillId="0" borderId="26" xfId="0" applyNumberFormat="1" applyFont="1" applyFill="1" applyBorder="1" applyAlignment="1">
      <alignment vertical="center"/>
    </xf>
    <xf numFmtId="0" fontId="32" fillId="0" borderId="27" xfId="0" applyNumberFormat="1" applyFont="1" applyFill="1" applyBorder="1" applyAlignment="1">
      <alignment vertical="center"/>
    </xf>
    <xf numFmtId="166" fontId="32" fillId="0" borderId="28" xfId="0" applyNumberFormat="1" applyFont="1" applyFill="1" applyBorder="1" applyAlignment="1">
      <alignment horizontal="center" vertical="center"/>
    </xf>
    <xf numFmtId="166" fontId="32" fillId="0" borderId="26" xfId="0" applyNumberFormat="1" applyFont="1" applyFill="1" applyBorder="1" applyAlignment="1">
      <alignment horizontal="center" vertical="center"/>
    </xf>
    <xf numFmtId="166" fontId="32" fillId="0" borderId="27" xfId="0" applyNumberFormat="1" applyFont="1" applyFill="1" applyBorder="1" applyAlignment="1">
      <alignment horizontal="center" vertical="center"/>
    </xf>
    <xf numFmtId="166" fontId="32" fillId="0" borderId="28" xfId="0" applyNumberFormat="1" applyFont="1" applyFill="1" applyBorder="1" applyAlignment="1">
      <alignment vertical="center"/>
    </xf>
    <xf numFmtId="166" fontId="32" fillId="0" borderId="26" xfId="0" applyNumberFormat="1" applyFont="1" applyFill="1" applyBorder="1" applyAlignment="1">
      <alignment vertical="center"/>
    </xf>
    <xf numFmtId="166" fontId="32" fillId="0" borderId="27" xfId="0" applyNumberFormat="1" applyFont="1" applyFill="1" applyBorder="1" applyAlignment="1">
      <alignment vertical="center"/>
    </xf>
    <xf numFmtId="166" fontId="32" fillId="0" borderId="99" xfId="0" applyNumberFormat="1" applyFont="1" applyFill="1" applyBorder="1" applyAlignment="1">
      <alignment horizontal="right" vertical="center"/>
    </xf>
    <xf numFmtId="166" fontId="32" fillId="0" borderId="102" xfId="0" applyNumberFormat="1" applyFont="1" applyFill="1" applyBorder="1" applyAlignment="1">
      <alignment horizontal="right" vertical="center"/>
    </xf>
    <xf numFmtId="166" fontId="32" fillId="0" borderId="114" xfId="0" applyNumberFormat="1" applyFont="1" applyFill="1" applyBorder="1" applyAlignment="1">
      <alignment horizontal="right" vertical="center"/>
    </xf>
    <xf numFmtId="49" fontId="30" fillId="0" borderId="78" xfId="0" applyNumberFormat="1" applyFont="1" applyFill="1" applyBorder="1" applyAlignment="1">
      <alignment horizontal="center" vertical="center" wrapText="1"/>
    </xf>
    <xf numFmtId="49" fontId="30" fillId="0" borderId="67" xfId="0" applyNumberFormat="1" applyFont="1" applyFill="1" applyBorder="1" applyAlignment="1">
      <alignment horizontal="center" vertical="center" wrapText="1"/>
    </xf>
    <xf numFmtId="49" fontId="30" fillId="0" borderId="77" xfId="0" applyNumberFormat="1" applyFont="1" applyFill="1" applyBorder="1" applyAlignment="1">
      <alignment horizontal="center" vertical="center" wrapText="1"/>
    </xf>
    <xf numFmtId="49" fontId="30" fillId="0" borderId="81" xfId="0" applyNumberFormat="1" applyFont="1" applyFill="1" applyBorder="1" applyAlignment="1">
      <alignment horizontal="center" vertical="center" wrapText="1"/>
    </xf>
    <xf numFmtId="49" fontId="30" fillId="0" borderId="64" xfId="0" applyNumberFormat="1" applyFont="1" applyFill="1" applyBorder="1" applyAlignment="1">
      <alignment horizontal="center" vertical="center" wrapText="1"/>
    </xf>
    <xf numFmtId="49" fontId="30" fillId="0" borderId="82" xfId="0" applyNumberFormat="1" applyFont="1" applyFill="1" applyBorder="1" applyAlignment="1">
      <alignment horizontal="center" vertical="center" wrapText="1"/>
    </xf>
    <xf numFmtId="49" fontId="30" fillId="0" borderId="83" xfId="0" applyNumberFormat="1" applyFont="1" applyFill="1" applyBorder="1" applyAlignment="1">
      <alignment horizontal="center" vertical="center" wrapText="1"/>
    </xf>
    <xf numFmtId="49" fontId="30" fillId="0" borderId="75" xfId="0" applyNumberFormat="1" applyFont="1" applyFill="1" applyBorder="1" applyAlignment="1">
      <alignment horizontal="center" vertical="center" wrapText="1"/>
    </xf>
    <xf numFmtId="49" fontId="31" fillId="0" borderId="111" xfId="0" applyNumberFormat="1" applyFont="1" applyFill="1" applyBorder="1" applyAlignment="1">
      <alignment horizontal="center" vertical="center"/>
    </xf>
    <xf numFmtId="49" fontId="31" fillId="0" borderId="102" xfId="0" applyNumberFormat="1" applyFont="1" applyFill="1" applyBorder="1" applyAlignment="1">
      <alignment horizontal="center" vertical="center"/>
    </xf>
    <xf numFmtId="49" fontId="31" fillId="0" borderId="103" xfId="0" applyNumberFormat="1" applyFont="1" applyFill="1" applyBorder="1" applyAlignment="1">
      <alignment horizontal="center" vertical="center"/>
    </xf>
    <xf numFmtId="166" fontId="32" fillId="0" borderId="99" xfId="0" applyNumberFormat="1" applyFont="1" applyFill="1" applyBorder="1" applyAlignment="1">
      <alignment horizontal="center" vertical="center"/>
    </xf>
    <xf numFmtId="166" fontId="32" fillId="0" borderId="102" xfId="0" applyNumberFormat="1" applyFont="1" applyFill="1" applyBorder="1" applyAlignment="1">
      <alignment horizontal="center" vertical="center"/>
    </xf>
    <xf numFmtId="166" fontId="32" fillId="0" borderId="103" xfId="0" applyNumberFormat="1" applyFont="1" applyFill="1" applyBorder="1" applyAlignment="1">
      <alignment horizontal="center" vertical="center"/>
    </xf>
    <xf numFmtId="166" fontId="32" fillId="0" borderId="99" xfId="0" applyNumberFormat="1" applyFont="1" applyFill="1" applyBorder="1" applyAlignment="1">
      <alignment vertical="center"/>
    </xf>
    <xf numFmtId="166" fontId="32" fillId="0" borderId="102" xfId="0" applyNumberFormat="1" applyFont="1" applyFill="1" applyBorder="1" applyAlignment="1">
      <alignment vertical="center"/>
    </xf>
    <xf numFmtId="166" fontId="32" fillId="0" borderId="103" xfId="0" applyNumberFormat="1" applyFont="1" applyFill="1" applyBorder="1" applyAlignment="1">
      <alignment vertical="center"/>
    </xf>
    <xf numFmtId="166" fontId="32" fillId="0" borderId="103" xfId="0" applyNumberFormat="1" applyFont="1" applyFill="1" applyBorder="1" applyAlignment="1">
      <alignment horizontal="right" vertical="center"/>
    </xf>
    <xf numFmtId="167" fontId="32" fillId="0" borderId="99" xfId="0" applyNumberFormat="1" applyFont="1" applyFill="1" applyBorder="1" applyAlignment="1">
      <alignment horizontal="right" vertical="center"/>
    </xf>
    <xf numFmtId="167" fontId="32" fillId="0" borderId="102" xfId="0" applyNumberFormat="1" applyFont="1" applyFill="1" applyBorder="1" applyAlignment="1">
      <alignment horizontal="right" vertical="center"/>
    </xf>
    <xf numFmtId="167" fontId="32" fillId="0" borderId="103" xfId="0" applyNumberFormat="1" applyFont="1" applyFill="1" applyBorder="1" applyAlignment="1">
      <alignment horizontal="right" vertical="center"/>
    </xf>
    <xf numFmtId="49" fontId="30" fillId="0" borderId="76" xfId="0" applyNumberFormat="1" applyFont="1" applyFill="1" applyBorder="1" applyAlignment="1">
      <alignment horizontal="center" vertical="center" wrapText="1"/>
    </xf>
    <xf numFmtId="49" fontId="30" fillId="0" borderId="74" xfId="0" applyNumberFormat="1" applyFont="1" applyFill="1" applyBorder="1" applyAlignment="1">
      <alignment horizontal="center" vertical="center" wrapText="1"/>
    </xf>
    <xf numFmtId="0" fontId="32" fillId="0" borderId="28" xfId="0" applyNumberFormat="1" applyFont="1" applyFill="1" applyBorder="1" applyAlignment="1">
      <alignment horizontal="left" vertical="center"/>
    </xf>
    <xf numFmtId="0" fontId="32" fillId="0" borderId="26" xfId="0" applyNumberFormat="1" applyFont="1" applyFill="1" applyBorder="1" applyAlignment="1">
      <alignment horizontal="left" vertical="center"/>
    </xf>
    <xf numFmtId="0" fontId="32" fillId="0" borderId="27" xfId="0" applyNumberFormat="1" applyFont="1" applyFill="1" applyBorder="1" applyAlignment="1">
      <alignment horizontal="left" vertical="center"/>
    </xf>
    <xf numFmtId="0" fontId="32" fillId="0" borderId="28" xfId="0" applyNumberFormat="1" applyFont="1" applyFill="1" applyBorder="1" applyAlignment="1">
      <alignment horizontal="center" vertical="center"/>
    </xf>
    <xf numFmtId="0" fontId="32" fillId="0" borderId="26" xfId="0" applyNumberFormat="1" applyFont="1" applyFill="1" applyBorder="1" applyAlignment="1">
      <alignment horizontal="center" vertical="center"/>
    </xf>
    <xf numFmtId="0" fontId="32" fillId="0" borderId="27" xfId="0" applyNumberFormat="1" applyFont="1" applyFill="1" applyBorder="1" applyAlignment="1">
      <alignment horizontal="center" vertical="center"/>
    </xf>
    <xf numFmtId="0" fontId="32" fillId="0" borderId="111" xfId="0" applyNumberFormat="1" applyFont="1" applyFill="1" applyBorder="1" applyAlignment="1">
      <alignment horizontal="center" vertical="center"/>
    </xf>
    <xf numFmtId="0" fontId="32" fillId="0" borderId="102" xfId="0" applyNumberFormat="1" applyFont="1" applyFill="1" applyBorder="1" applyAlignment="1">
      <alignment horizontal="center" vertical="center"/>
    </xf>
    <xf numFmtId="49" fontId="29" fillId="0" borderId="90" xfId="0" applyNumberFormat="1" applyFont="1" applyFill="1" applyBorder="1" applyAlignment="1">
      <alignment horizontal="left" vertical="center"/>
    </xf>
    <xf numFmtId="49" fontId="29" fillId="0" borderId="110" xfId="0" applyNumberFormat="1" applyFont="1" applyFill="1" applyBorder="1" applyAlignment="1">
      <alignment horizontal="left" vertical="center"/>
    </xf>
    <xf numFmtId="49" fontId="29" fillId="0" borderId="91" xfId="0" applyNumberFormat="1" applyFont="1" applyFill="1" applyBorder="1" applyAlignment="1">
      <alignment horizontal="left" vertical="center"/>
    </xf>
    <xf numFmtId="43" fontId="30" fillId="0" borderId="99" xfId="0" applyNumberFormat="1" applyFont="1" applyFill="1" applyBorder="1" applyAlignment="1">
      <alignment horizontal="center" vertical="center"/>
    </xf>
    <xf numFmtId="43" fontId="30" fillId="0" borderId="102" xfId="0" applyNumberFormat="1" applyFont="1" applyFill="1" applyBorder="1" applyAlignment="1">
      <alignment horizontal="center" vertical="center"/>
    </xf>
    <xf numFmtId="43" fontId="30" fillId="0" borderId="114" xfId="0" applyNumberFormat="1" applyFont="1" applyFill="1" applyBorder="1" applyAlignment="1">
      <alignment horizontal="center" vertical="center"/>
    </xf>
    <xf numFmtId="49" fontId="30" fillId="0" borderId="112" xfId="0" applyNumberFormat="1" applyFont="1" applyFill="1" applyBorder="1" applyAlignment="1">
      <alignment horizontal="left" vertical="center"/>
    </xf>
    <xf numFmtId="43" fontId="29" fillId="0" borderId="90" xfId="0" applyNumberFormat="1" applyFont="1" applyFill="1" applyBorder="1" applyAlignment="1">
      <alignment horizontal="right" vertical="center"/>
    </xf>
    <xf numFmtId="43" fontId="29" fillId="0" borderId="110" xfId="0" applyNumberFormat="1" applyFont="1" applyFill="1" applyBorder="1" applyAlignment="1">
      <alignment horizontal="right" vertical="center"/>
    </xf>
    <xf numFmtId="43" fontId="29" fillId="0" borderId="113" xfId="0" applyNumberFormat="1" applyFont="1" applyFill="1" applyBorder="1" applyAlignment="1">
      <alignment horizontal="right" vertical="center"/>
    </xf>
    <xf numFmtId="0" fontId="33" fillId="0" borderId="25" xfId="0" applyNumberFormat="1" applyFont="1" applyFill="1" applyBorder="1" applyAlignment="1">
      <alignment horizontal="center" vertical="center"/>
    </xf>
    <xf numFmtId="0" fontId="33" fillId="0" borderId="26" xfId="0" applyNumberFormat="1" applyFont="1" applyFill="1" applyBorder="1" applyAlignment="1">
      <alignment horizontal="center" vertical="center"/>
    </xf>
    <xf numFmtId="49" fontId="32" fillId="0" borderId="26" xfId="0" applyNumberFormat="1" applyFont="1" applyFill="1" applyBorder="1" applyAlignment="1">
      <alignment horizontal="left" vertical="center"/>
    </xf>
    <xf numFmtId="49" fontId="32" fillId="0" borderId="28" xfId="0" applyNumberFormat="1" applyFont="1" applyFill="1" applyBorder="1" applyAlignment="1">
      <alignment horizontal="center" vertical="center"/>
    </xf>
    <xf numFmtId="49" fontId="32" fillId="0" borderId="26" xfId="0" applyNumberFormat="1" applyFont="1" applyFill="1" applyBorder="1" applyAlignment="1">
      <alignment horizontal="center" vertical="center"/>
    </xf>
    <xf numFmtId="49" fontId="32" fillId="0" borderId="27" xfId="0" applyNumberFormat="1" applyFont="1" applyFill="1" applyBorder="1" applyAlignment="1">
      <alignment horizontal="center" vertical="center"/>
    </xf>
    <xf numFmtId="43" fontId="32" fillId="0" borderId="28" xfId="0" applyNumberFormat="1" applyFont="1" applyFill="1" applyBorder="1" applyAlignment="1">
      <alignment horizontal="center" vertical="center"/>
    </xf>
    <xf numFmtId="43" fontId="32" fillId="0" borderId="26" xfId="0" applyNumberFormat="1" applyFont="1" applyFill="1" applyBorder="1" applyAlignment="1">
      <alignment horizontal="center" vertical="center"/>
    </xf>
    <xf numFmtId="43" fontId="32" fillId="0" borderId="29" xfId="0" applyNumberFormat="1" applyFont="1" applyFill="1" applyBorder="1" applyAlignment="1">
      <alignment horizontal="center" vertical="center"/>
    </xf>
    <xf numFmtId="39" fontId="32" fillId="0" borderId="29" xfId="0" applyNumberFormat="1" applyFont="1" applyFill="1" applyBorder="1" applyAlignment="1">
      <alignment horizontal="right" vertical="center"/>
    </xf>
    <xf numFmtId="0" fontId="33" fillId="0" borderId="91" xfId="0" applyNumberFormat="1" applyFont="1" applyFill="1" applyBorder="1" applyAlignment="1">
      <alignment horizontal="center" vertical="center"/>
    </xf>
    <xf numFmtId="0" fontId="30" fillId="0" borderId="90" xfId="0" applyNumberFormat="1" applyFont="1" applyFill="1" applyBorder="1" applyAlignment="1">
      <alignment horizontal="left" vertical="center"/>
    </xf>
    <xf numFmtId="0" fontId="30" fillId="0" borderId="110" xfId="0" applyNumberFormat="1" applyFont="1" applyFill="1" applyBorder="1" applyAlignment="1">
      <alignment horizontal="left" vertical="center"/>
    </xf>
    <xf numFmtId="0" fontId="30" fillId="0" borderId="91" xfId="0" applyNumberFormat="1" applyFont="1" applyFill="1" applyBorder="1" applyAlignment="1">
      <alignment horizontal="left" vertical="center"/>
    </xf>
    <xf numFmtId="43" fontId="32" fillId="0" borderId="28" xfId="0" applyNumberFormat="1" applyFont="1" applyFill="1" applyBorder="1" applyAlignment="1">
      <alignment horizontal="right" vertical="center"/>
    </xf>
    <xf numFmtId="43" fontId="32" fillId="0" borderId="26" xfId="0" applyNumberFormat="1" applyFont="1" applyFill="1" applyBorder="1" applyAlignment="1">
      <alignment horizontal="right" vertical="center"/>
    </xf>
    <xf numFmtId="43" fontId="32" fillId="0" borderId="27" xfId="0" applyNumberFormat="1" applyFont="1" applyFill="1" applyBorder="1" applyAlignment="1">
      <alignment horizontal="right" vertical="center"/>
    </xf>
    <xf numFmtId="43" fontId="32" fillId="0" borderId="79" xfId="0" applyNumberFormat="1" applyFont="1" applyFill="1" applyBorder="1" applyAlignment="1">
      <alignment horizontal="right" vertical="center"/>
    </xf>
    <xf numFmtId="43" fontId="32" fillId="0" borderId="0" xfId="0" applyNumberFormat="1" applyFont="1" applyFill="1" applyBorder="1" applyAlignment="1">
      <alignment horizontal="right" vertical="center"/>
    </xf>
    <xf numFmtId="43" fontId="32" fillId="0" borderId="80" xfId="0" applyNumberFormat="1" applyFont="1" applyFill="1" applyBorder="1" applyAlignment="1">
      <alignment horizontal="right" vertical="center"/>
    </xf>
    <xf numFmtId="49" fontId="30" fillId="0" borderId="90" xfId="0" applyNumberFormat="1" applyFont="1" applyFill="1" applyBorder="1" applyAlignment="1">
      <alignment horizontal="center" vertical="center" wrapText="1"/>
    </xf>
    <xf numFmtId="49" fontId="30" fillId="0" borderId="110" xfId="0" applyNumberFormat="1" applyFont="1" applyFill="1" applyBorder="1" applyAlignment="1">
      <alignment horizontal="center" vertical="center" wrapText="1"/>
    </xf>
    <xf numFmtId="49" fontId="30" fillId="0" borderId="91" xfId="0" applyNumberFormat="1" applyFont="1" applyFill="1" applyBorder="1" applyAlignment="1">
      <alignment horizontal="center" vertical="center" wrapText="1"/>
    </xf>
    <xf numFmtId="39" fontId="32" fillId="0" borderId="99" xfId="0" applyNumberFormat="1" applyFont="1" applyFill="1" applyBorder="1" applyAlignment="1">
      <alignment horizontal="right" vertical="center"/>
    </xf>
    <xf numFmtId="39" fontId="32" fillId="0" borderId="102" xfId="0" applyNumberFormat="1" applyFont="1" applyFill="1" applyBorder="1" applyAlignment="1">
      <alignment horizontal="right" vertical="center"/>
    </xf>
    <xf numFmtId="39" fontId="32" fillId="0" borderId="103" xfId="0" applyNumberFormat="1" applyFont="1" applyFill="1" applyBorder="1" applyAlignment="1">
      <alignment horizontal="right" vertical="center"/>
    </xf>
    <xf numFmtId="43" fontId="32" fillId="0" borderId="78" xfId="0" applyNumberFormat="1" applyFont="1" applyFill="1" applyBorder="1" applyAlignment="1">
      <alignment horizontal="right" vertical="center"/>
    </xf>
    <xf numFmtId="43" fontId="32" fillId="0" borderId="67" xfId="0" applyNumberFormat="1" applyFont="1" applyFill="1" applyBorder="1" applyAlignment="1">
      <alignment horizontal="right" vertical="center"/>
    </xf>
    <xf numFmtId="43" fontId="32" fillId="0" borderId="77" xfId="0" applyNumberFormat="1" applyFont="1" applyFill="1" applyBorder="1" applyAlignment="1">
      <alignment horizontal="right" vertical="center"/>
    </xf>
    <xf numFmtId="0" fontId="29" fillId="0" borderId="100" xfId="0" applyNumberFormat="1" applyFont="1" applyFill="1" applyBorder="1" applyAlignment="1">
      <alignment horizontal="center" vertical="center" wrapText="1"/>
    </xf>
    <xf numFmtId="0" fontId="29" fillId="0" borderId="109" xfId="0" applyNumberFormat="1" applyFont="1" applyFill="1" applyBorder="1" applyAlignment="1">
      <alignment horizontal="center" vertical="center" wrapText="1"/>
    </xf>
    <xf numFmtId="0" fontId="29" fillId="0" borderId="64" xfId="0" applyNumberFormat="1" applyFont="1" applyFill="1" applyBorder="1" applyAlignment="1">
      <alignment horizontal="center" vertical="center" wrapText="1"/>
    </xf>
    <xf numFmtId="0" fontId="29" fillId="0" borderId="75" xfId="0" applyNumberFormat="1" applyFont="1" applyFill="1" applyBorder="1" applyAlignment="1">
      <alignment horizontal="center" vertical="center" wrapText="1"/>
    </xf>
    <xf numFmtId="49" fontId="30" fillId="0" borderId="99" xfId="0" applyNumberFormat="1" applyFont="1" applyFill="1" applyBorder="1" applyAlignment="1">
      <alignment horizontal="center" vertical="center" wrapText="1"/>
    </xf>
    <xf numFmtId="49" fontId="30" fillId="0" borderId="102" xfId="0" applyNumberFormat="1" applyFont="1" applyFill="1" applyBorder="1" applyAlignment="1">
      <alignment horizontal="center" vertical="center" wrapText="1"/>
    </xf>
    <xf numFmtId="49" fontId="30" fillId="0" borderId="103" xfId="0" applyNumberFormat="1" applyFont="1" applyFill="1" applyBorder="1" applyAlignment="1">
      <alignment horizontal="center" vertical="center" wrapText="1"/>
    </xf>
    <xf numFmtId="49" fontId="27" fillId="0" borderId="76" xfId="0" applyNumberFormat="1" applyFont="1" applyFill="1" applyBorder="1" applyAlignment="1">
      <alignment horizontal="center" vertical="center"/>
    </xf>
    <xf numFmtId="49" fontId="27" fillId="0" borderId="67" xfId="0" applyNumberFormat="1" applyFont="1" applyFill="1" applyBorder="1" applyAlignment="1">
      <alignment horizontal="center" vertical="center"/>
    </xf>
    <xf numFmtId="49" fontId="27" fillId="0" borderId="83" xfId="0" applyNumberFormat="1" applyFont="1" applyFill="1" applyBorder="1" applyAlignment="1">
      <alignment horizontal="center" vertical="center"/>
    </xf>
    <xf numFmtId="49" fontId="27" fillId="0" borderId="104" xfId="0" applyNumberFormat="1" applyFont="1" applyFill="1" applyBorder="1" applyAlignment="1">
      <alignment horizontal="center" vertical="center"/>
    </xf>
    <xf numFmtId="49" fontId="27" fillId="0" borderId="105" xfId="0" applyNumberFormat="1" applyFont="1" applyFill="1" applyBorder="1" applyAlignment="1">
      <alignment horizontal="center" vertical="center"/>
    </xf>
    <xf numFmtId="49" fontId="27" fillId="0" borderId="106" xfId="0" applyNumberFormat="1" applyFont="1" applyFill="1" applyBorder="1" applyAlignment="1">
      <alignment horizontal="center" vertical="center"/>
    </xf>
    <xf numFmtId="49" fontId="28" fillId="0" borderId="107" xfId="0" applyNumberFormat="1" applyFont="1" applyFill="1" applyBorder="1" applyAlignment="1">
      <alignment horizontal="center" vertical="center"/>
    </xf>
    <xf numFmtId="49" fontId="28" fillId="0" borderId="100" xfId="0" applyNumberFormat="1" applyFont="1" applyFill="1" applyBorder="1" applyAlignment="1">
      <alignment horizontal="center" vertical="center"/>
    </xf>
    <xf numFmtId="49" fontId="28" fillId="0" borderId="74" xfId="0" applyNumberFormat="1" applyFont="1" applyFill="1" applyBorder="1" applyAlignment="1">
      <alignment horizontal="center" vertical="center"/>
    </xf>
    <xf numFmtId="49" fontId="28" fillId="0" borderId="64" xfId="0" applyNumberFormat="1" applyFont="1" applyFill="1" applyBorder="1" applyAlignment="1">
      <alignment horizontal="center" vertical="center"/>
    </xf>
    <xf numFmtId="49" fontId="29" fillId="0" borderId="100" xfId="0" applyNumberFormat="1" applyFont="1" applyFill="1" applyBorder="1" applyAlignment="1">
      <alignment horizontal="center" vertical="center"/>
    </xf>
    <xf numFmtId="49" fontId="29" fillId="0" borderId="101" xfId="0" applyNumberFormat="1" applyFont="1" applyFill="1" applyBorder="1" applyAlignment="1">
      <alignment horizontal="center" vertical="center"/>
    </xf>
    <xf numFmtId="49" fontId="29" fillId="0" borderId="64" xfId="0" applyNumberFormat="1" applyFont="1" applyFill="1" applyBorder="1" applyAlignment="1">
      <alignment horizontal="center" vertical="center"/>
    </xf>
    <xf numFmtId="49" fontId="29" fillId="0" borderId="82" xfId="0" applyNumberFormat="1" applyFont="1" applyFill="1" applyBorder="1" applyAlignment="1">
      <alignment horizontal="center" vertical="center"/>
    </xf>
    <xf numFmtId="0" fontId="28" fillId="0" borderId="108" xfId="0" applyNumberFormat="1" applyFont="1" applyFill="1" applyBorder="1" applyAlignment="1">
      <alignment horizontal="center" vertical="center"/>
    </xf>
    <xf numFmtId="0" fontId="28" fillId="0" borderId="100" xfId="0" applyNumberFormat="1" applyFont="1" applyFill="1" applyBorder="1" applyAlignment="1">
      <alignment horizontal="center" vertical="center"/>
    </xf>
    <xf numFmtId="0" fontId="28" fillId="0" borderId="81" xfId="0" applyNumberFormat="1" applyFont="1" applyFill="1" applyBorder="1" applyAlignment="1">
      <alignment horizontal="center" vertical="center"/>
    </xf>
    <xf numFmtId="0" fontId="28" fillId="0" borderId="64" xfId="0" applyNumberFormat="1" applyFont="1" applyFill="1" applyBorder="1" applyAlignment="1">
      <alignment horizontal="center" vertical="center"/>
    </xf>
    <xf numFmtId="43" fontId="32" fillId="0" borderId="99" xfId="0" applyNumberFormat="1" applyFont="1" applyFill="1" applyBorder="1" applyAlignment="1">
      <alignment horizontal="right" vertical="center"/>
    </xf>
    <xf numFmtId="43" fontId="32" fillId="0" borderId="102" xfId="0" applyNumberFormat="1" applyFont="1" applyFill="1" applyBorder="1" applyAlignment="1">
      <alignment horizontal="right" vertical="center"/>
    </xf>
    <xf numFmtId="43" fontId="32" fillId="0" borderId="103" xfId="0" applyNumberFormat="1" applyFont="1" applyFill="1" applyBorder="1" applyAlignment="1">
      <alignment horizontal="right" vertical="center"/>
    </xf>
    <xf numFmtId="0" fontId="32" fillId="0" borderId="103" xfId="0" applyNumberFormat="1" applyFont="1" applyFill="1" applyBorder="1" applyAlignment="1">
      <alignment horizontal="center" vertical="center"/>
    </xf>
    <xf numFmtId="0" fontId="4" fillId="0" borderId="115" xfId="0" applyFont="1" applyFill="1" applyBorder="1" applyAlignment="1">
      <alignment horizontal="center"/>
    </xf>
    <xf numFmtId="0" fontId="4" fillId="0" borderId="116" xfId="0" applyFont="1" applyFill="1" applyBorder="1" applyAlignment="1">
      <alignment horizontal="center"/>
    </xf>
  </cellXfs>
  <cellStyles count="54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Comma [0]" xfId="23"/>
    <cellStyle name="Currency [0]" xfId="24"/>
    <cellStyle name="Ênfase1" xfId="25" builtinId="29" customBuiltin="1"/>
    <cellStyle name="Ênfase2" xfId="26" builtinId="33" customBuiltin="1"/>
    <cellStyle name="Ênfase3" xfId="27" builtinId="37" customBuiltin="1"/>
    <cellStyle name="Ênfase4" xfId="28" builtinId="41" customBuiltin="1"/>
    <cellStyle name="Ênfase5" xfId="29" builtinId="45" customBuiltin="1"/>
    <cellStyle name="Ênfase6" xfId="30" builtinId="49" customBuiltin="1"/>
    <cellStyle name="Entrada" xfId="31" builtinId="20" customBuiltin="1"/>
    <cellStyle name="Incorreto" xfId="32" builtinId="27" customBuiltin="1"/>
    <cellStyle name="Neutra" xfId="33" builtinId="28" customBuiltin="1"/>
    <cellStyle name="Normal" xfId="0" builtinId="0"/>
    <cellStyle name="Normal 2" xfId="34"/>
    <cellStyle name="Nota" xfId="35" builtinId="10" customBuiltin="1"/>
    <cellStyle name="Porcentagem" xfId="36" builtinId="5"/>
    <cellStyle name="Porcentagem 2" xfId="37"/>
    <cellStyle name="Porcentagem 2 2" xfId="38"/>
    <cellStyle name="Porcentagem 3" xfId="39"/>
    <cellStyle name="Saída" xfId="40" builtinId="21" customBuiltin="1"/>
    <cellStyle name="Separador de milhares" xfId="41" builtinId="3"/>
    <cellStyle name="Separador de milhares 2" xfId="42"/>
    <cellStyle name="Separador de milhares 3" xfId="43"/>
    <cellStyle name="Separador de milhares 3 2" xfId="44"/>
    <cellStyle name="Texto de Aviso" xfId="45" builtinId="11" customBuiltin="1"/>
    <cellStyle name="Texto Explicativo" xfId="46" builtinId="53" customBuiltin="1"/>
    <cellStyle name="Título" xfId="47" builtinId="15" customBuiltin="1"/>
    <cellStyle name="Título 1" xfId="48" builtinId="16" customBuiltin="1"/>
    <cellStyle name="Título 2" xfId="49" builtinId="17" customBuiltin="1"/>
    <cellStyle name="Título 3" xfId="50" builtinId="18" customBuiltin="1"/>
    <cellStyle name="Título 4" xfId="51" builtinId="19" customBuiltin="1"/>
    <cellStyle name="Total" xfId="52" builtinId="25" customBuiltin="1"/>
    <cellStyle name="Vírgula 2" xfId="53"/>
  </cellStyles>
  <dxfs count="2">
    <dxf>
      <fill>
        <patternFill>
          <bgColor indexed="45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dor/Meus%20documentos/Nelson/Linha%20verde_R1%202011/TABELA%20EDIFICA&#199;&#213;ES%20-%20JUNHO.2011%20-%20BDI%2020,31%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dor/Meus%20documentos/Nelson/Linha%20verde_R1%202011/TABELA%20DE%20PRE&#199;OS%20-%20JUN%202011%20-%20BDI%2020,31%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dor/Meus%20documentos/Nelson/Linha%20verde_R1%202011/TABELA%20ILUMINA&#199;&#195;O%20P&#218;BLICA%20-%20JUNHO%202011%20-%20B.D.I%2020,31%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GERAL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PPUC/Obra%20593_Linha%20Verde/4%20-%20Or&#231;amento%20e%20Plano%20de%20Execu&#231;&#227;o/DB_junho%202011/Lote%204/GERAL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>
        <row r="1">
          <cell r="A1" t="str">
            <v xml:space="preserve">PREFEITURA MUNICIPAL DE CURITIBA                                                                                                                                                   SECRETARIA MUNICIPAL DE OBRAS PÚBLICAS - SMOP                               </v>
          </cell>
        </row>
        <row r="2">
          <cell r="A2" t="str">
            <v>EDIFICAÇÕES</v>
          </cell>
          <cell r="D2" t="str">
            <v>B.D.I. = 20,31%</v>
          </cell>
        </row>
        <row r="3">
          <cell r="A3" t="str">
            <v>CÓDIGO</v>
          </cell>
          <cell r="B3" t="str">
            <v>DISCRIMINAÇÃO</v>
          </cell>
          <cell r="C3" t="str">
            <v>UN</v>
          </cell>
          <cell r="D3" t="str">
            <v>R$</v>
          </cell>
        </row>
        <row r="4">
          <cell r="A4">
            <v>10000</v>
          </cell>
          <cell r="B4" t="str">
            <v>SERVIÇOS PRELIMINARES</v>
          </cell>
        </row>
        <row r="5">
          <cell r="A5">
            <v>10200</v>
          </cell>
          <cell r="B5" t="str">
            <v>DEMOLIÇÕES E RETIRADAS</v>
          </cell>
        </row>
        <row r="6">
          <cell r="A6" t="str">
            <v>010201U</v>
          </cell>
          <cell r="B6" t="str">
            <v>RETIRADA DE TELHAS ONDULADAS DE FIBROCIMENTO</v>
          </cell>
          <cell r="C6" t="str">
            <v>m2</v>
          </cell>
          <cell r="D6">
            <v>4.13</v>
          </cell>
        </row>
        <row r="7">
          <cell r="A7" t="str">
            <v>010202U</v>
          </cell>
          <cell r="B7" t="str">
            <v>RETIRADA DE TELHAS DE BARRO TIPO FRANCESA</v>
          </cell>
          <cell r="C7" t="str">
            <v>m2</v>
          </cell>
          <cell r="D7">
            <v>6.85</v>
          </cell>
        </row>
        <row r="8">
          <cell r="A8" t="str">
            <v>010203U</v>
          </cell>
          <cell r="B8" t="str">
            <v>RETIRADA EST. MADEIRA P/ TELHAS FIBROCIMENTO</v>
          </cell>
          <cell r="C8" t="str">
            <v>m2</v>
          </cell>
          <cell r="D8">
            <v>13.09</v>
          </cell>
        </row>
        <row r="9">
          <cell r="A9" t="str">
            <v>010204U</v>
          </cell>
          <cell r="B9" t="str">
            <v>RET. DE EST. DE MADEIRA. P/ TELHAS DE BARRO</v>
          </cell>
          <cell r="C9" t="str">
            <v>m2</v>
          </cell>
          <cell r="D9">
            <v>17.36</v>
          </cell>
        </row>
        <row r="10">
          <cell r="A10" t="str">
            <v>010205U</v>
          </cell>
          <cell r="B10" t="str">
            <v>RETIRADA DE ALAMBRADO C/ MOURAO DE CONCRETO</v>
          </cell>
          <cell r="C10" t="str">
            <v>m</v>
          </cell>
          <cell r="D10">
            <v>15.39</v>
          </cell>
        </row>
        <row r="11">
          <cell r="A11" t="str">
            <v>010206U</v>
          </cell>
          <cell r="B11" t="str">
            <v>RETIRADA DE TELA ALAMBRADO</v>
          </cell>
          <cell r="C11" t="str">
            <v>m2</v>
          </cell>
          <cell r="D11">
            <v>3.85</v>
          </cell>
        </row>
        <row r="12">
          <cell r="A12" t="str">
            <v>010207U</v>
          </cell>
          <cell r="B12" t="str">
            <v>RETIRADA DE MOURAO DE CONCRETO</v>
          </cell>
          <cell r="C12" t="str">
            <v>un</v>
          </cell>
          <cell r="D12">
            <v>10.83</v>
          </cell>
        </row>
        <row r="13">
          <cell r="A13" t="str">
            <v>010208U</v>
          </cell>
          <cell r="B13" t="str">
            <v>RETIRADA DE MURO PRE-FABRICADO H= 1,50 M</v>
          </cell>
          <cell r="C13" t="str">
            <v>m</v>
          </cell>
          <cell r="D13">
            <v>12.18</v>
          </cell>
        </row>
        <row r="14">
          <cell r="A14" t="str">
            <v>010209U</v>
          </cell>
          <cell r="B14" t="str">
            <v>RETIRADA DE MURO PRE-FABRICADO H= 1,80 M</v>
          </cell>
          <cell r="C14" t="str">
            <v>m</v>
          </cell>
          <cell r="D14">
            <v>14.62</v>
          </cell>
        </row>
        <row r="15">
          <cell r="A15" t="str">
            <v>010210U</v>
          </cell>
          <cell r="B15" t="str">
            <v>RETIRADA DE PISO CERAMICO</v>
          </cell>
          <cell r="C15" t="str">
            <v>m2</v>
          </cell>
          <cell r="D15">
            <v>10.7</v>
          </cell>
        </row>
        <row r="16">
          <cell r="A16" t="str">
            <v>010211U</v>
          </cell>
          <cell r="B16" t="str">
            <v>RETIRADA DE PISOS DE TACOS E PARQUETES DE MADEIRA</v>
          </cell>
          <cell r="C16" t="str">
            <v>m2</v>
          </cell>
          <cell r="D16">
            <v>11.67</v>
          </cell>
        </row>
        <row r="17">
          <cell r="A17" t="str">
            <v>010212U</v>
          </cell>
          <cell r="B17" t="str">
            <v>DEMOLICAO DE PISO CIMENTADO</v>
          </cell>
          <cell r="C17" t="str">
            <v>m2</v>
          </cell>
          <cell r="D17">
            <v>7.27</v>
          </cell>
        </row>
        <row r="18">
          <cell r="A18" t="str">
            <v>010213U</v>
          </cell>
          <cell r="B18" t="str">
            <v>ARRANCAMENTO DE CARPET</v>
          </cell>
          <cell r="C18" t="str">
            <v>m2</v>
          </cell>
          <cell r="D18">
            <v>1.71</v>
          </cell>
        </row>
        <row r="19">
          <cell r="A19" t="str">
            <v>010214U</v>
          </cell>
          <cell r="B19" t="str">
            <v>APICOAMENTO DE PISO CIMENTADO</v>
          </cell>
          <cell r="C19" t="str">
            <v>m2</v>
          </cell>
          <cell r="D19">
            <v>3.63</v>
          </cell>
        </row>
        <row r="20">
          <cell r="A20" t="str">
            <v>010215U</v>
          </cell>
          <cell r="B20" t="str">
            <v>RETIRADA DE RODAPE CERAMICO</v>
          </cell>
          <cell r="C20" t="str">
            <v>m</v>
          </cell>
          <cell r="D20">
            <v>3.63</v>
          </cell>
        </row>
        <row r="21">
          <cell r="A21" t="str">
            <v>010216U</v>
          </cell>
          <cell r="B21" t="str">
            <v>REMOCAO DE REVESTIMENTO DE PAREDES COM ARGAMASSA</v>
          </cell>
          <cell r="C21" t="str">
            <v>m2</v>
          </cell>
          <cell r="D21">
            <v>3.25</v>
          </cell>
        </row>
        <row r="22">
          <cell r="A22" t="str">
            <v>010217U</v>
          </cell>
          <cell r="B22" t="str">
            <v>DEMOLICAO DE ALVENARIA 1/2 VEZ</v>
          </cell>
          <cell r="C22" t="str">
            <v>m2</v>
          </cell>
          <cell r="D22">
            <v>9.65</v>
          </cell>
        </row>
        <row r="23">
          <cell r="A23" t="str">
            <v>010218U</v>
          </cell>
          <cell r="B23" t="str">
            <v>DEMOLICAO DE ALVENARIA 1 VEZ</v>
          </cell>
          <cell r="C23" t="str">
            <v>m2</v>
          </cell>
          <cell r="D23">
            <v>16.13</v>
          </cell>
        </row>
        <row r="24">
          <cell r="A24" t="str">
            <v>010219U</v>
          </cell>
          <cell r="B24" t="str">
            <v>DEMOLICAO DE CONCRETO SIMPLES</v>
          </cell>
          <cell r="C24" t="str">
            <v>m3</v>
          </cell>
          <cell r="D24">
            <v>142.69999999999999</v>
          </cell>
        </row>
        <row r="25">
          <cell r="A25" t="str">
            <v>010220U</v>
          </cell>
          <cell r="B25" t="str">
            <v>DEMOLICAO DE REVESTIMENTO DE AZULEJOS</v>
          </cell>
          <cell r="C25" t="str">
            <v>m2</v>
          </cell>
          <cell r="D25">
            <v>12.97</v>
          </cell>
        </row>
        <row r="26">
          <cell r="A26" t="str">
            <v>010221U</v>
          </cell>
          <cell r="B26" t="str">
            <v>DEMOLICAO MANUAL DE CONCRETO ARMADO</v>
          </cell>
          <cell r="C26" t="str">
            <v>m3</v>
          </cell>
          <cell r="D26">
            <v>311.35000000000002</v>
          </cell>
        </row>
        <row r="27">
          <cell r="A27" t="str">
            <v>010222U</v>
          </cell>
          <cell r="B27" t="str">
            <v>DEMOLICAO DE CONCRETO ARMADO COM COMPRESSOR</v>
          </cell>
          <cell r="C27" t="str">
            <v>m3</v>
          </cell>
          <cell r="D27">
            <v>211.9</v>
          </cell>
        </row>
        <row r="28">
          <cell r="A28" t="str">
            <v>010223U</v>
          </cell>
          <cell r="B28" t="str">
            <v>RETIRADA DE FORRO MADEIRA, INCL. TARUGAMENTO</v>
          </cell>
          <cell r="C28" t="str">
            <v>m2</v>
          </cell>
          <cell r="D28">
            <v>10.68</v>
          </cell>
        </row>
        <row r="29">
          <cell r="A29" t="str">
            <v>010224U</v>
          </cell>
          <cell r="B29" t="str">
            <v>RETIRADA DE DIVISORIA DE MADEIRA</v>
          </cell>
          <cell r="C29" t="str">
            <v>m2</v>
          </cell>
          <cell r="D29">
            <v>16.03</v>
          </cell>
        </row>
        <row r="30">
          <cell r="A30" t="str">
            <v>010225U</v>
          </cell>
          <cell r="B30" t="str">
            <v>RETIRADA DE ASSOALHO DE MADEIRA</v>
          </cell>
          <cell r="C30" t="str">
            <v>m2</v>
          </cell>
          <cell r="D30">
            <v>11.67</v>
          </cell>
        </row>
        <row r="31">
          <cell r="A31" t="str">
            <v>010226U</v>
          </cell>
          <cell r="B31" t="str">
            <v>RETIRADA DE PISO VINILICO</v>
          </cell>
          <cell r="C31" t="str">
            <v>m2</v>
          </cell>
          <cell r="D31">
            <v>3.42</v>
          </cell>
        </row>
        <row r="32">
          <cell r="A32" t="str">
            <v>010227U</v>
          </cell>
          <cell r="B32" t="str">
            <v>RETIRADA DE ESQUADRIA METALICA</v>
          </cell>
          <cell r="C32" t="str">
            <v>m2</v>
          </cell>
          <cell r="D32">
            <v>10.38</v>
          </cell>
        </row>
        <row r="33">
          <cell r="A33" t="str">
            <v>010228U</v>
          </cell>
          <cell r="B33" t="str">
            <v>RET. DE PORTA MAD. 60/70/80X210CM C/ CAIXILHO</v>
          </cell>
          <cell r="C33" t="str">
            <v>un</v>
          </cell>
          <cell r="D33">
            <v>41.16</v>
          </cell>
        </row>
        <row r="34">
          <cell r="A34" t="str">
            <v>010229U</v>
          </cell>
          <cell r="B34" t="str">
            <v>RETIRADA DE VASO SANITARIO</v>
          </cell>
          <cell r="C34" t="str">
            <v>un</v>
          </cell>
          <cell r="D34">
            <v>17.84</v>
          </cell>
        </row>
        <row r="35">
          <cell r="A35" t="str">
            <v>010230U</v>
          </cell>
          <cell r="B35" t="str">
            <v>RETIRADA DE LAVATORIO DE LOUCA SEM COLUNA</v>
          </cell>
          <cell r="C35" t="str">
            <v>un</v>
          </cell>
          <cell r="D35">
            <v>10.43</v>
          </cell>
        </row>
        <row r="36">
          <cell r="A36" t="str">
            <v>010231U</v>
          </cell>
          <cell r="B36" t="str">
            <v>RETIRADA DE LAVATORIO DE LOUCA COM COLUNA</v>
          </cell>
          <cell r="C36" t="str">
            <v>un</v>
          </cell>
          <cell r="D36">
            <v>17.84</v>
          </cell>
        </row>
        <row r="37">
          <cell r="A37" t="str">
            <v>010232U</v>
          </cell>
          <cell r="B37" t="str">
            <v>RETIRADA DE CAIXA DE DESCARGA PLASTICA</v>
          </cell>
          <cell r="C37" t="str">
            <v>un</v>
          </cell>
          <cell r="D37">
            <v>9.6</v>
          </cell>
        </row>
        <row r="38">
          <cell r="A38" t="str">
            <v>010233U</v>
          </cell>
          <cell r="B38" t="str">
            <v>RETIRADA DE TANQUE DE LAVAR EM CONCRETO</v>
          </cell>
          <cell r="C38" t="str">
            <v>un</v>
          </cell>
          <cell r="D38">
            <v>13.72</v>
          </cell>
        </row>
        <row r="39">
          <cell r="A39" t="str">
            <v>010234U</v>
          </cell>
          <cell r="B39" t="str">
            <v>RETIRADA DE CHUVEIRO ELETRICO</v>
          </cell>
          <cell r="C39" t="str">
            <v>un</v>
          </cell>
          <cell r="D39">
            <v>6.86</v>
          </cell>
        </row>
        <row r="40">
          <cell r="A40" t="str">
            <v>010235U</v>
          </cell>
          <cell r="B40" t="str">
            <v>RETIRADA DE LUMINARIA FLUORESCENTE 2 X 40 W</v>
          </cell>
          <cell r="C40" t="str">
            <v>un</v>
          </cell>
          <cell r="D40">
            <v>12.34</v>
          </cell>
        </row>
        <row r="41">
          <cell r="A41" t="str">
            <v>010236U</v>
          </cell>
          <cell r="B41" t="str">
            <v>RETIRADA DE LUMINARIA FLUORESCENTE 4 X 40 W</v>
          </cell>
          <cell r="C41" t="str">
            <v>un</v>
          </cell>
          <cell r="D41">
            <v>15.09</v>
          </cell>
        </row>
        <row r="42">
          <cell r="A42" t="str">
            <v>010237U</v>
          </cell>
          <cell r="B42" t="str">
            <v>RETIRADA DE LUMINARIA INCANDESCENTE</v>
          </cell>
          <cell r="C42" t="str">
            <v>un</v>
          </cell>
          <cell r="D42">
            <v>5.49</v>
          </cell>
        </row>
        <row r="43">
          <cell r="A43" t="str">
            <v>010238U</v>
          </cell>
          <cell r="B43" t="str">
            <v>RETIRADA DE TELHA DE FIBROCIMENTO CANALETE 90</v>
          </cell>
          <cell r="C43" t="str">
            <v>m2</v>
          </cell>
          <cell r="D43">
            <v>15.3</v>
          </cell>
        </row>
        <row r="44">
          <cell r="A44" t="str">
            <v>010239U</v>
          </cell>
          <cell r="B44" t="str">
            <v>RETIRADA DE VIDRO</v>
          </cell>
          <cell r="C44" t="str">
            <v>m2</v>
          </cell>
          <cell r="D44">
            <v>10.33</v>
          </cell>
        </row>
        <row r="45">
          <cell r="A45" t="str">
            <v>010240U</v>
          </cell>
          <cell r="B45" t="str">
            <v>DEMOLICAO DE ALVENARIA DE TIJOLOS</v>
          </cell>
          <cell r="C45" t="str">
            <v>m3</v>
          </cell>
          <cell r="D45">
            <v>64.86</v>
          </cell>
        </row>
        <row r="46">
          <cell r="A46" t="str">
            <v>010241U</v>
          </cell>
          <cell r="B46" t="str">
            <v>DEM. MURO ALV.1/2 VEZ,C/ BALDR.,PILAR E CINTA</v>
          </cell>
          <cell r="C46" t="str">
            <v>m2</v>
          </cell>
          <cell r="D46">
            <v>20.260000000000002</v>
          </cell>
        </row>
        <row r="47">
          <cell r="A47" t="str">
            <v>010242U</v>
          </cell>
          <cell r="B47" t="str">
            <v>CARGA E TRANSPORTE DE ENTULHOS COM CACAMBA</v>
          </cell>
          <cell r="C47" t="str">
            <v>m3</v>
          </cell>
          <cell r="D47">
            <v>46.72</v>
          </cell>
        </row>
        <row r="48">
          <cell r="A48" t="str">
            <v>010243U</v>
          </cell>
          <cell r="B48" t="str">
            <v>RETIRADA DE RODAPÉ DE MADEIRA</v>
          </cell>
          <cell r="C48" t="str">
            <v>m</v>
          </cell>
          <cell r="D48">
            <v>1.71</v>
          </cell>
        </row>
        <row r="49">
          <cell r="A49" t="str">
            <v>010244U</v>
          </cell>
          <cell r="B49" t="str">
            <v>RETIRADA DE TESTEIRA DE MADEIRA</v>
          </cell>
          <cell r="C49" t="str">
            <v>m</v>
          </cell>
          <cell r="D49">
            <v>2.74</v>
          </cell>
        </row>
        <row r="50">
          <cell r="A50" t="str">
            <v>010245U</v>
          </cell>
          <cell r="B50" t="str">
            <v>RETIRADA DE PORTA DE MADEIRA 60-70-80/2,10M ( FOLHA )</v>
          </cell>
          <cell r="C50" t="str">
            <v>un</v>
          </cell>
          <cell r="D50">
            <v>10.97</v>
          </cell>
        </row>
        <row r="51">
          <cell r="A51" t="str">
            <v>010246U</v>
          </cell>
          <cell r="B51" t="str">
            <v>RETIRADA DE DIVISÓRIA NAVAL</v>
          </cell>
          <cell r="C51" t="str">
            <v>m2</v>
          </cell>
          <cell r="D51">
            <v>10.97</v>
          </cell>
        </row>
        <row r="52">
          <cell r="A52" t="str">
            <v>010247U</v>
          </cell>
          <cell r="B52" t="str">
            <v>RETIRADA DE FORRO DE MADEIRA</v>
          </cell>
          <cell r="C52" t="str">
            <v>m2</v>
          </cell>
          <cell r="D52">
            <v>7.54</v>
          </cell>
        </row>
        <row r="53">
          <cell r="A53" t="str">
            <v>010248U</v>
          </cell>
          <cell r="B53" t="str">
            <v>DEMOLIÇÃO DE PISO DE GRANITINA</v>
          </cell>
          <cell r="C53" t="str">
            <v>m2</v>
          </cell>
          <cell r="D53">
            <v>7.27</v>
          </cell>
        </row>
        <row r="54">
          <cell r="A54" t="str">
            <v>010249U</v>
          </cell>
          <cell r="B54" t="str">
            <v>DEMOLIÇÃO DE RODAPÉ DE GRANITINA</v>
          </cell>
          <cell r="C54" t="str">
            <v>m</v>
          </cell>
          <cell r="D54">
            <v>3.63</v>
          </cell>
        </row>
        <row r="55">
          <cell r="A55" t="str">
            <v>010250U</v>
          </cell>
          <cell r="B55" t="str">
            <v>RETIRADA DE CALHAS, RUFOS E CONDUTORES</v>
          </cell>
          <cell r="C55" t="str">
            <v>m</v>
          </cell>
          <cell r="D55">
            <v>4.5599999999999996</v>
          </cell>
        </row>
        <row r="56">
          <cell r="A56" t="str">
            <v>010251U</v>
          </cell>
          <cell r="B56" t="str">
            <v>RETIRADA DE FORRO DE PVC</v>
          </cell>
          <cell r="C56" t="str">
            <v>m2</v>
          </cell>
          <cell r="D56">
            <v>7.54</v>
          </cell>
        </row>
        <row r="57">
          <cell r="A57" t="str">
            <v>010252U</v>
          </cell>
          <cell r="B57" t="str">
            <v>RETIRADA DE FORRO DE PVC, INCLUSIVE TARUGAMENTO</v>
          </cell>
          <cell r="C57" t="str">
            <v>m2</v>
          </cell>
          <cell r="D57">
            <v>10.68</v>
          </cell>
        </row>
        <row r="58">
          <cell r="A58" t="str">
            <v>010253U</v>
          </cell>
          <cell r="B58" t="str">
            <v>RETIRADA DE ALAMBRADO C/ TUBO DE F.G. E TELA</v>
          </cell>
          <cell r="C58" t="str">
            <v>m2</v>
          </cell>
          <cell r="D58">
            <v>10.01</v>
          </cell>
        </row>
        <row r="59">
          <cell r="A59" t="str">
            <v>010260U</v>
          </cell>
          <cell r="B59" t="str">
            <v>REMOÇÃO CAMADA VEGETAL C/ TRANSPORTE DMT: 10 KM</v>
          </cell>
          <cell r="C59" t="str">
            <v>m2</v>
          </cell>
          <cell r="D59">
            <v>2.11</v>
          </cell>
        </row>
        <row r="60">
          <cell r="A60" t="str">
            <v>010261U</v>
          </cell>
          <cell r="B60" t="str">
            <v>CORTE DE ÁRVORES ATÉ Ø 20 CM, INCL. DESTOC. E TRANSPORTE</v>
          </cell>
          <cell r="C60" t="str">
            <v>un</v>
          </cell>
          <cell r="D60">
            <v>37.4</v>
          </cell>
        </row>
        <row r="61">
          <cell r="A61" t="str">
            <v>010262U</v>
          </cell>
          <cell r="B61" t="str">
            <v>CORTE DE ÁRVORES COM Ø 20 A 40 CM, INCUSIVE TRANSPORTE</v>
          </cell>
          <cell r="C61" t="str">
            <v>un</v>
          </cell>
          <cell r="D61">
            <v>74.81</v>
          </cell>
        </row>
        <row r="62">
          <cell r="A62" t="str">
            <v>010263U</v>
          </cell>
          <cell r="B62" t="str">
            <v>CORTE DE ÁRVORES COM Ø 40 A 60 CM, INCLUSIVE TRANSPORTE</v>
          </cell>
          <cell r="C62" t="str">
            <v>un</v>
          </cell>
          <cell r="D62">
            <v>99.75</v>
          </cell>
        </row>
        <row r="63">
          <cell r="A63" t="str">
            <v>010264U</v>
          </cell>
          <cell r="B63" t="str">
            <v>CORTE DE ÁRVORES COM Ø 60 A 80 CM, INCLUSIVE TRANSPORTE</v>
          </cell>
          <cell r="C63" t="str">
            <v>un</v>
          </cell>
          <cell r="D63">
            <v>195.26</v>
          </cell>
        </row>
        <row r="64">
          <cell r="A64" t="str">
            <v>010265U</v>
          </cell>
          <cell r="B64" t="str">
            <v>DESTOC. ÁRVORES COM Ø 20 A 40 CM, INCLUSIVE TRANSPORTE</v>
          </cell>
          <cell r="C64" t="str">
            <v>un</v>
          </cell>
          <cell r="D64">
            <v>62.06</v>
          </cell>
        </row>
        <row r="65">
          <cell r="A65" t="str">
            <v>010266U</v>
          </cell>
          <cell r="B65" t="str">
            <v>DESTOC. ÁRVORES COM Ø 40 A 60 CM, INCLUSIVE TRANSPORTE</v>
          </cell>
          <cell r="C65" t="str">
            <v>un</v>
          </cell>
          <cell r="D65">
            <v>105.66</v>
          </cell>
        </row>
        <row r="66">
          <cell r="A66" t="str">
            <v>010267U</v>
          </cell>
          <cell r="B66" t="str">
            <v>DESTOC. ÁRVORES COM Ø 60 A 80 CM, INCLUSIVE TRANSPORTE</v>
          </cell>
          <cell r="C66" t="str">
            <v>un</v>
          </cell>
          <cell r="D66">
            <v>140.87</v>
          </cell>
        </row>
        <row r="67">
          <cell r="A67" t="str">
            <v>010268U</v>
          </cell>
          <cell r="B67" t="str">
            <v>ROÇADA, INCLUSIVE REMOÇÃO DE ENTULHOS</v>
          </cell>
          <cell r="C67" t="str">
            <v>m2</v>
          </cell>
          <cell r="D67">
            <v>0.16</v>
          </cell>
        </row>
        <row r="68">
          <cell r="A68">
            <v>10400</v>
          </cell>
          <cell r="B68" t="str">
            <v>INSTALAÇÕES PROVISÓRIAS</v>
          </cell>
        </row>
        <row r="69">
          <cell r="A69" t="str">
            <v>010401U</v>
          </cell>
          <cell r="B69" t="str">
            <v>BARRACAO</v>
          </cell>
          <cell r="C69" t="str">
            <v>m2</v>
          </cell>
          <cell r="D69">
            <v>116.86</v>
          </cell>
        </row>
        <row r="70">
          <cell r="A70" t="str">
            <v>010402U</v>
          </cell>
          <cell r="B70" t="str">
            <v>TAPUME DE CHAPA COMPENSADA RESINADA 6 MM</v>
          </cell>
          <cell r="C70" t="str">
            <v>m2</v>
          </cell>
          <cell r="D70">
            <v>29.86</v>
          </cell>
        </row>
        <row r="71">
          <cell r="A71" t="str">
            <v>010403U</v>
          </cell>
          <cell r="B71" t="str">
            <v>LOCACAO DA OBRA</v>
          </cell>
          <cell r="C71" t="str">
            <v>m2</v>
          </cell>
          <cell r="D71">
            <v>1.78</v>
          </cell>
        </row>
        <row r="72">
          <cell r="A72" t="str">
            <v>010404U</v>
          </cell>
          <cell r="B72" t="str">
            <v>TAPUME CHAPA RES. 10 MM PINT.CFE. MOD. PMC</v>
          </cell>
          <cell r="C72" t="str">
            <v>m2</v>
          </cell>
          <cell r="D72">
            <v>37.119999999999997</v>
          </cell>
        </row>
        <row r="73">
          <cell r="A73" t="str">
            <v>010405U</v>
          </cell>
          <cell r="B73" t="str">
            <v>PLACA DE OBRA</v>
          </cell>
          <cell r="C73" t="str">
            <v>m2</v>
          </cell>
          <cell r="D73">
            <v>175.62</v>
          </cell>
        </row>
        <row r="74">
          <cell r="A74">
            <v>20000</v>
          </cell>
          <cell r="B74" t="str">
            <v>TRABALHOS EM TERRA</v>
          </cell>
        </row>
        <row r="75">
          <cell r="A75">
            <v>20100</v>
          </cell>
          <cell r="B75" t="str">
            <v>ESCAVAÇÕES E ATERROS</v>
          </cell>
        </row>
        <row r="76">
          <cell r="A76" t="str">
            <v>020101U</v>
          </cell>
          <cell r="B76" t="str">
            <v>ESCAVACAO MANUAL</v>
          </cell>
          <cell r="C76" t="str">
            <v>m3</v>
          </cell>
          <cell r="D76">
            <v>34.229999999999997</v>
          </cell>
        </row>
        <row r="77">
          <cell r="A77" t="str">
            <v>020102U</v>
          </cell>
          <cell r="B77" t="str">
            <v>REATERRO COM APILOAMENTO</v>
          </cell>
          <cell r="C77" t="str">
            <v>m3</v>
          </cell>
          <cell r="D77">
            <v>18.25</v>
          </cell>
        </row>
        <row r="78">
          <cell r="A78" t="str">
            <v>020103U</v>
          </cell>
          <cell r="B78" t="str">
            <v>LIMPEZA E REGULARIZACAO DE TERRENO</v>
          </cell>
          <cell r="C78" t="str">
            <v>m2</v>
          </cell>
          <cell r="D78">
            <v>4.5599999999999996</v>
          </cell>
        </row>
        <row r="79">
          <cell r="A79">
            <v>30000</v>
          </cell>
          <cell r="B79" t="str">
            <v>INFRA-ESTRUTURA</v>
          </cell>
        </row>
        <row r="80">
          <cell r="A80">
            <v>30200</v>
          </cell>
          <cell r="B80" t="str">
            <v>FUNDAÇÃO</v>
          </cell>
        </row>
        <row r="81">
          <cell r="A81" t="str">
            <v>030201U</v>
          </cell>
          <cell r="B81" t="str">
            <v>ESTACA TIPO BROCA D= 0,20 M</v>
          </cell>
          <cell r="C81" t="str">
            <v>m</v>
          </cell>
          <cell r="D81">
            <v>38.909999999999997</v>
          </cell>
        </row>
        <row r="82">
          <cell r="A82" t="str">
            <v>030202U</v>
          </cell>
          <cell r="B82" t="str">
            <v>ESTACA TIPO BROCA D= 0,25 M</v>
          </cell>
          <cell r="C82" t="str">
            <v>m</v>
          </cell>
          <cell r="D82">
            <v>52.67</v>
          </cell>
        </row>
        <row r="83">
          <cell r="A83" t="str">
            <v>030203U</v>
          </cell>
          <cell r="B83" t="str">
            <v>ESTACA TIPO BROCA D= 0,30 M</v>
          </cell>
          <cell r="C83" t="str">
            <v>m</v>
          </cell>
          <cell r="D83">
            <v>73.05</v>
          </cell>
        </row>
        <row r="84">
          <cell r="A84" t="str">
            <v>030204U</v>
          </cell>
          <cell r="B84" t="str">
            <v>FORMA DE TABUAS DE PINHO</v>
          </cell>
          <cell r="C84" t="str">
            <v>m2</v>
          </cell>
          <cell r="D84">
            <v>43.8</v>
          </cell>
        </row>
        <row r="85">
          <cell r="A85" t="str">
            <v>030205U</v>
          </cell>
          <cell r="B85" t="str">
            <v>CONCRETO MAGRO COM BETONEIRA</v>
          </cell>
          <cell r="C85" t="str">
            <v>m3</v>
          </cell>
          <cell r="D85">
            <v>301.73</v>
          </cell>
        </row>
        <row r="86">
          <cell r="A86" t="str">
            <v>030206U</v>
          </cell>
          <cell r="B86" t="str">
            <v>CONCRETO USINADO FCK= 9,0 MPA</v>
          </cell>
          <cell r="C86" t="str">
            <v>m3</v>
          </cell>
          <cell r="D86">
            <v>357.69</v>
          </cell>
        </row>
        <row r="87">
          <cell r="A87" t="str">
            <v>030207U</v>
          </cell>
          <cell r="B87" t="str">
            <v>CONCRETO USINADO FCK= 15,0 MPA</v>
          </cell>
          <cell r="C87" t="str">
            <v>m3</v>
          </cell>
          <cell r="D87">
            <v>373.21</v>
          </cell>
        </row>
        <row r="88">
          <cell r="A88" t="str">
            <v>030208U</v>
          </cell>
          <cell r="B88" t="str">
            <v>CONCRETO FCK= 150 KG/CM2 COM BETONEIRA</v>
          </cell>
          <cell r="C88" t="str">
            <v>m3</v>
          </cell>
          <cell r="D88">
            <v>349.33</v>
          </cell>
        </row>
        <row r="89">
          <cell r="A89" t="str">
            <v>030209U</v>
          </cell>
          <cell r="B89" t="str">
            <v>FERRAGEM CA-50 PARA CONCRETO ARMADO</v>
          </cell>
          <cell r="C89" t="str">
            <v>kg</v>
          </cell>
          <cell r="D89">
            <v>5.97</v>
          </cell>
        </row>
        <row r="90">
          <cell r="A90" t="str">
            <v>030210U</v>
          </cell>
          <cell r="B90" t="str">
            <v>FERRAGEM CA-60 PARA CONCRETO ARMADO</v>
          </cell>
          <cell r="C90" t="str">
            <v>kg</v>
          </cell>
          <cell r="D90">
            <v>5.64</v>
          </cell>
        </row>
        <row r="91">
          <cell r="A91" t="str">
            <v>030211U</v>
          </cell>
          <cell r="B91" t="str">
            <v>ESTACA PRE-MOLDADA CRAVADA SECAO 15 X 15 CM</v>
          </cell>
          <cell r="C91" t="str">
            <v>m</v>
          </cell>
          <cell r="D91">
            <v>62.08</v>
          </cell>
        </row>
        <row r="92">
          <cell r="A92" t="str">
            <v>030212U</v>
          </cell>
          <cell r="B92" t="str">
            <v>ESTACA PRE-MOLDADA CRAVADA SECAO 16 X 16 CM</v>
          </cell>
          <cell r="C92" t="str">
            <v>m</v>
          </cell>
          <cell r="D92">
            <v>67.98</v>
          </cell>
        </row>
        <row r="93">
          <cell r="A93" t="str">
            <v>030213U</v>
          </cell>
          <cell r="B93" t="str">
            <v>ESTACA PRE-MOLDADA CRAVADA SECAO 18 X 18 CM</v>
          </cell>
          <cell r="C93" t="str">
            <v>m</v>
          </cell>
          <cell r="D93">
            <v>74.349999999999994</v>
          </cell>
        </row>
        <row r="94">
          <cell r="A94" t="str">
            <v>030214U</v>
          </cell>
          <cell r="B94" t="str">
            <v>ESTACA PRE-MOLDADA CRAVADA SECAO 20 X 20 CM</v>
          </cell>
          <cell r="C94" t="str">
            <v>m</v>
          </cell>
          <cell r="D94">
            <v>81.45</v>
          </cell>
        </row>
        <row r="95">
          <cell r="A95" t="str">
            <v>030215U</v>
          </cell>
          <cell r="B95" t="str">
            <v>ESTACA PRE-MOLDADA CRAVADA SECAO 23 X 23 CM</v>
          </cell>
          <cell r="C95" t="str">
            <v>m</v>
          </cell>
          <cell r="D95">
            <v>93</v>
          </cell>
        </row>
        <row r="96">
          <cell r="A96" t="str">
            <v>030216U</v>
          </cell>
          <cell r="B96" t="str">
            <v>ESTACA PRE-MOLDADA CRAVADA SECAO 26 X 26 CM</v>
          </cell>
          <cell r="C96" t="str">
            <v>m</v>
          </cell>
          <cell r="D96">
            <v>108.28</v>
          </cell>
        </row>
        <row r="97">
          <cell r="A97" t="str">
            <v>030217U</v>
          </cell>
          <cell r="B97" t="str">
            <v>ESTACA PRE-MOLDADA CRAVADA SECAO 30 X 30 CM</v>
          </cell>
          <cell r="C97" t="str">
            <v>m</v>
          </cell>
          <cell r="D97">
            <v>128.13</v>
          </cell>
        </row>
        <row r="98">
          <cell r="A98" t="str">
            <v>030218U</v>
          </cell>
          <cell r="B98" t="str">
            <v>MOBILIZACAO E DESMOBILIZACAO DE BATE-ESTACAS</v>
          </cell>
          <cell r="C98" t="str">
            <v>un</v>
          </cell>
          <cell r="D98">
            <v>2165.58</v>
          </cell>
        </row>
        <row r="99">
          <cell r="A99" t="str">
            <v>030219U</v>
          </cell>
          <cell r="B99" t="str">
            <v>ARRASAMENTO DE ESTACA PRE-MOLDADA</v>
          </cell>
          <cell r="C99" t="str">
            <v>un</v>
          </cell>
          <cell r="D99">
            <v>15.97</v>
          </cell>
        </row>
        <row r="100">
          <cell r="A100" t="str">
            <v>030220U</v>
          </cell>
          <cell r="B100" t="str">
            <v>PERFURAÇÃO MECÂNICA PARA ESTACA ESCAVADA Ø 0,20 M</v>
          </cell>
          <cell r="C100" t="str">
            <v>m</v>
          </cell>
          <cell r="D100">
            <v>6.02</v>
          </cell>
        </row>
        <row r="101">
          <cell r="A101" t="str">
            <v>030221U</v>
          </cell>
          <cell r="B101" t="str">
            <v>PERFURAÇÃO MECÂNICA PARA ESTACA ESCAVADA Ø 0,25 M</v>
          </cell>
          <cell r="C101" t="str">
            <v>m</v>
          </cell>
          <cell r="D101">
            <v>6.02</v>
          </cell>
        </row>
        <row r="102">
          <cell r="A102" t="str">
            <v>030222U</v>
          </cell>
          <cell r="B102" t="str">
            <v>PERFURAÇÃO MECÂNICA PARA ESTACA ESCAVADA Ø 0,30 M</v>
          </cell>
          <cell r="C102" t="str">
            <v>m</v>
          </cell>
          <cell r="D102">
            <v>7.1</v>
          </cell>
        </row>
        <row r="103">
          <cell r="A103" t="str">
            <v>030223U</v>
          </cell>
          <cell r="B103" t="str">
            <v>PERFURAÇÃO MECÃNICA PARA ESTACA ESCAVADA Ø 0,40 M</v>
          </cell>
          <cell r="C103" t="str">
            <v>m</v>
          </cell>
          <cell r="D103">
            <v>9.6199999999999992</v>
          </cell>
        </row>
        <row r="104">
          <cell r="A104" t="str">
            <v>030224U</v>
          </cell>
          <cell r="B104" t="str">
            <v>PERFURAÇÃO MECÂNICA PARA ESTACA ESCAVADA Ø 0,50 M</v>
          </cell>
          <cell r="C104" t="str">
            <v>m</v>
          </cell>
          <cell r="D104">
            <v>12.03</v>
          </cell>
        </row>
        <row r="105">
          <cell r="A105">
            <v>40000</v>
          </cell>
          <cell r="B105" t="str">
            <v>SUPERESTRUTURA</v>
          </cell>
        </row>
        <row r="106">
          <cell r="A106">
            <v>40100</v>
          </cell>
          <cell r="B106" t="str">
            <v>FORMAS - SUPERESTRUTURA</v>
          </cell>
        </row>
        <row r="107">
          <cell r="A107" t="str">
            <v>040101U</v>
          </cell>
          <cell r="B107" t="str">
            <v>FORMA COM CHAPA COMPENSADA RESINADA 12 MM</v>
          </cell>
          <cell r="C107" t="str">
            <v>m2</v>
          </cell>
          <cell r="D107">
            <v>52.38</v>
          </cell>
        </row>
        <row r="108">
          <cell r="A108">
            <v>40200</v>
          </cell>
          <cell r="B108" t="str">
            <v>ARMADURA - SUPERESTRUTURA</v>
          </cell>
        </row>
        <row r="109">
          <cell r="A109" t="str">
            <v>040201U</v>
          </cell>
          <cell r="B109" t="str">
            <v>FERRAGEM CA-50 PARA CONCRETO ARMADO</v>
          </cell>
          <cell r="C109" t="str">
            <v>kg</v>
          </cell>
          <cell r="D109">
            <v>5.97</v>
          </cell>
        </row>
        <row r="110">
          <cell r="A110" t="str">
            <v>040202U</v>
          </cell>
          <cell r="B110" t="str">
            <v>FERRAGEM CA-60 PARA CONCRETO ARMADO</v>
          </cell>
          <cell r="C110" t="str">
            <v>kg</v>
          </cell>
          <cell r="D110">
            <v>5.64</v>
          </cell>
        </row>
        <row r="111">
          <cell r="A111">
            <v>40300</v>
          </cell>
          <cell r="B111" t="str">
            <v>CONCRETO - SUPERESTRUTURA</v>
          </cell>
        </row>
        <row r="112">
          <cell r="A112" t="str">
            <v>040301U</v>
          </cell>
          <cell r="B112" t="str">
            <v>CONCRETO FCK= 150 KG/CM2 COM BETONEIRA</v>
          </cell>
          <cell r="C112" t="str">
            <v>m3</v>
          </cell>
          <cell r="D112">
            <v>349.33</v>
          </cell>
        </row>
        <row r="113">
          <cell r="A113" t="str">
            <v>040302U</v>
          </cell>
          <cell r="B113" t="str">
            <v>CONCRETO USINADO FCK= 15,0 MPA</v>
          </cell>
          <cell r="C113" t="str">
            <v>m3</v>
          </cell>
          <cell r="D113">
            <v>373.21</v>
          </cell>
        </row>
        <row r="114">
          <cell r="A114" t="str">
            <v>040303U</v>
          </cell>
          <cell r="B114" t="str">
            <v>CONCRETO USINADO FCK= 18,0 MPA</v>
          </cell>
          <cell r="C114" t="str">
            <v>m3</v>
          </cell>
          <cell r="D114">
            <v>380.91</v>
          </cell>
        </row>
        <row r="115">
          <cell r="A115" t="str">
            <v>040304U</v>
          </cell>
          <cell r="B115" t="str">
            <v>CONCRETO USINADO FCK= 20,0 MPA</v>
          </cell>
          <cell r="C115" t="str">
            <v>m3</v>
          </cell>
          <cell r="D115">
            <v>389.7</v>
          </cell>
        </row>
        <row r="116">
          <cell r="A116" t="str">
            <v>040305U</v>
          </cell>
          <cell r="B116" t="str">
            <v>CONCRETO USINADO FCK= 22,5 MPA</v>
          </cell>
          <cell r="C116" t="str">
            <v>m3</v>
          </cell>
          <cell r="D116">
            <v>412.92</v>
          </cell>
        </row>
        <row r="117">
          <cell r="A117" t="str">
            <v>040306U</v>
          </cell>
          <cell r="B117" t="str">
            <v>CONCRETO USINADO FCK= 25,0 MPA</v>
          </cell>
          <cell r="C117" t="str">
            <v>m3</v>
          </cell>
          <cell r="D117">
            <v>401.49</v>
          </cell>
        </row>
        <row r="118">
          <cell r="A118" t="str">
            <v>040307U</v>
          </cell>
          <cell r="B118" t="str">
            <v>CONCRETO USINADO FCK= 30,0 MPA</v>
          </cell>
          <cell r="C118" t="str">
            <v>m3</v>
          </cell>
          <cell r="D118">
            <v>417.85</v>
          </cell>
        </row>
        <row r="119">
          <cell r="A119" t="str">
            <v>040308U</v>
          </cell>
          <cell r="B119" t="str">
            <v>CONCRETO USINADO FCK= 35,0 MPA</v>
          </cell>
          <cell r="C119" t="str">
            <v>m3</v>
          </cell>
          <cell r="D119">
            <v>434.09</v>
          </cell>
        </row>
        <row r="120">
          <cell r="A120">
            <v>40500</v>
          </cell>
          <cell r="B120" t="str">
            <v>LAJES</v>
          </cell>
        </row>
        <row r="121">
          <cell r="A121" t="str">
            <v>040501U</v>
          </cell>
          <cell r="B121" t="str">
            <v>LAJE PRE-FABRICADA PARA FORROS COM CAPEAMENTO</v>
          </cell>
          <cell r="C121" t="str">
            <v>m2</v>
          </cell>
          <cell r="D121">
            <v>61.39</v>
          </cell>
        </row>
        <row r="122">
          <cell r="A122" t="str">
            <v>040502U</v>
          </cell>
          <cell r="B122" t="str">
            <v>LAJE PRE-FABRICADA PARA PISOS COM CAPEAMENTO</v>
          </cell>
          <cell r="C122" t="str">
            <v>m2</v>
          </cell>
          <cell r="D122">
            <v>68.62</v>
          </cell>
        </row>
        <row r="123">
          <cell r="A123">
            <v>50000</v>
          </cell>
          <cell r="B123" t="str">
            <v>IMPERMEABILIZAÇÃO E ISOLAÇÃO TÉRMICA</v>
          </cell>
        </row>
        <row r="124">
          <cell r="A124">
            <v>50100</v>
          </cell>
          <cell r="B124" t="str">
            <v xml:space="preserve">IMPERMEABILIZAÇÃO </v>
          </cell>
        </row>
        <row r="125">
          <cell r="A125" t="str">
            <v>050101U</v>
          </cell>
          <cell r="B125" t="str">
            <v>IMPERM. DE BALD. C/ PAP. ALCAT. E EMULSÃO ASF. 1/2 VEZ</v>
          </cell>
          <cell r="C125" t="str">
            <v>m</v>
          </cell>
          <cell r="D125">
            <v>3.36</v>
          </cell>
        </row>
        <row r="126">
          <cell r="A126" t="str">
            <v>050102U</v>
          </cell>
          <cell r="B126" t="str">
            <v>IMPERM. DE BALD. C/ PAP. ALCAT. E EMULSÃO ASF. 1 VEZ</v>
          </cell>
          <cell r="C126" t="str">
            <v>m</v>
          </cell>
          <cell r="D126">
            <v>4.99</v>
          </cell>
        </row>
        <row r="127">
          <cell r="A127" t="str">
            <v>050103U</v>
          </cell>
          <cell r="B127" t="str">
            <v>IMPERM.C/ 2 DEMAOS DE EMULSAO ASFÁLTICA</v>
          </cell>
          <cell r="C127" t="str">
            <v>m2</v>
          </cell>
          <cell r="D127">
            <v>11.39</v>
          </cell>
        </row>
        <row r="128">
          <cell r="A128" t="str">
            <v>050104U</v>
          </cell>
          <cell r="B128" t="str">
            <v>IMPERM.C/ ARG. IMPERM. C/ APLIC. 2 DEMÃOS TINTA BETUMINOSA</v>
          </cell>
          <cell r="C128" t="str">
            <v>m2</v>
          </cell>
          <cell r="D128">
            <v>38.67</v>
          </cell>
        </row>
        <row r="129">
          <cell r="A129" t="str">
            <v>050105U</v>
          </cell>
          <cell r="B129" t="str">
            <v>LONA PLASTICA PRETA</v>
          </cell>
          <cell r="C129" t="str">
            <v>m2</v>
          </cell>
          <cell r="D129">
            <v>1.34</v>
          </cell>
        </row>
        <row r="130">
          <cell r="A130">
            <v>60000</v>
          </cell>
          <cell r="B130" t="str">
            <v>VEDAÇÃO</v>
          </cell>
        </row>
        <row r="131">
          <cell r="A131">
            <v>60100</v>
          </cell>
          <cell r="B131" t="str">
            <v>ALVENARIA</v>
          </cell>
        </row>
        <row r="132">
          <cell r="A132" t="str">
            <v>060101U</v>
          </cell>
          <cell r="B132" t="str">
            <v>ALV. DE ELEVACAO TIJOLOS 2 F. ESPELHO E=6CM S/ REVESTIMENTO</v>
          </cell>
          <cell r="C132" t="str">
            <v>m2</v>
          </cell>
          <cell r="D132">
            <v>48.03</v>
          </cell>
        </row>
        <row r="133">
          <cell r="A133" t="str">
            <v>060102U</v>
          </cell>
          <cell r="B133" t="str">
            <v>ALV. DE ELEVACAO TIJOLOS 6 F. E=10CM S/ REVESTIMENTO</v>
          </cell>
          <cell r="C133" t="str">
            <v>m2</v>
          </cell>
          <cell r="D133">
            <v>46.73</v>
          </cell>
        </row>
        <row r="134">
          <cell r="A134" t="str">
            <v>060103U</v>
          </cell>
          <cell r="B134" t="str">
            <v>ALV. DE ELEVACAO TIJOLOS 6 F. E=15CM S/ REVESTIMENTO</v>
          </cell>
          <cell r="C134" t="str">
            <v>m2</v>
          </cell>
          <cell r="D134">
            <v>60.08</v>
          </cell>
        </row>
        <row r="135">
          <cell r="A135" t="str">
            <v>060104U</v>
          </cell>
          <cell r="B135" t="str">
            <v>ALV. DE ELEVACAO TIJOLOS 6 F. E=20CM S/ REVESTIMENTO</v>
          </cell>
          <cell r="C135" t="str">
            <v>m2</v>
          </cell>
          <cell r="D135">
            <v>83.83</v>
          </cell>
        </row>
        <row r="136">
          <cell r="A136" t="str">
            <v>060107U</v>
          </cell>
          <cell r="B136" t="str">
            <v>ALV.DE ELEVACAO TIJOLOS 2 F. 1/2 VEZ A VISTA</v>
          </cell>
          <cell r="C136" t="str">
            <v>m2</v>
          </cell>
          <cell r="D136">
            <v>95.32</v>
          </cell>
        </row>
        <row r="137">
          <cell r="A137" t="str">
            <v>060108U</v>
          </cell>
          <cell r="B137" t="str">
            <v>ALV. DE ELEVACAO TIJOLOS 2 F. 1 VEZ A VISTA</v>
          </cell>
          <cell r="C137" t="str">
            <v>m2</v>
          </cell>
          <cell r="D137">
            <v>177.46</v>
          </cell>
        </row>
        <row r="138">
          <cell r="A138" t="str">
            <v>060109U</v>
          </cell>
          <cell r="B138" t="str">
            <v>ALV. DE EMBASAMENTO C/ TIJOLOS 6 FUROS</v>
          </cell>
          <cell r="C138" t="str">
            <v>m3</v>
          </cell>
          <cell r="D138">
            <v>438.99</v>
          </cell>
        </row>
        <row r="139">
          <cell r="A139">
            <v>70000</v>
          </cell>
          <cell r="B139" t="str">
            <v>COBERTURA</v>
          </cell>
        </row>
        <row r="140">
          <cell r="A140">
            <v>70100</v>
          </cell>
          <cell r="B140" t="str">
            <v>ESTRUTURA DE MADEIRA</v>
          </cell>
        </row>
        <row r="141">
          <cell r="A141" t="str">
            <v>070101U</v>
          </cell>
          <cell r="B141" t="str">
            <v>EST. DE MAD. P/ TELHAS FRANCESAS PINHO 2A</v>
          </cell>
          <cell r="C141" t="str">
            <v>m2</v>
          </cell>
          <cell r="D141">
            <v>62.14</v>
          </cell>
        </row>
        <row r="142">
          <cell r="A142" t="str">
            <v>070102U</v>
          </cell>
          <cell r="B142" t="str">
            <v>EST. DE MAD. P/ TELHAS ONDULADAS - PINHO 2A</v>
          </cell>
          <cell r="C142" t="str">
            <v>m2</v>
          </cell>
          <cell r="D142">
            <v>46.58</v>
          </cell>
        </row>
        <row r="143">
          <cell r="A143" t="str">
            <v>070103U</v>
          </cell>
          <cell r="B143" t="str">
            <v>EST. DE MAD. CAMBARÁ P/ TELHAS METÁLICAS E FIBROCIMENTO</v>
          </cell>
          <cell r="C143" t="str">
            <v>m2</v>
          </cell>
          <cell r="D143">
            <v>50.09</v>
          </cell>
        </row>
        <row r="144">
          <cell r="A144" t="str">
            <v>070104U</v>
          </cell>
          <cell r="B144" t="str">
            <v>EST. DE MAD.CAMBARÁ P/ TELHAS DE BARRO</v>
          </cell>
          <cell r="C144" t="str">
            <v>m2</v>
          </cell>
          <cell r="D144">
            <v>66.75</v>
          </cell>
        </row>
        <row r="145">
          <cell r="A145">
            <v>70300</v>
          </cell>
          <cell r="B145" t="str">
            <v>COBERTURA</v>
          </cell>
        </row>
        <row r="146">
          <cell r="A146" t="str">
            <v>070301U</v>
          </cell>
          <cell r="B146" t="str">
            <v>COBERTURA COM TELHA CERAMICA FRANCESA</v>
          </cell>
          <cell r="C146" t="str">
            <v>m2</v>
          </cell>
          <cell r="D146">
            <v>32.130000000000003</v>
          </cell>
        </row>
        <row r="147">
          <cell r="A147" t="str">
            <v>070302U</v>
          </cell>
          <cell r="B147" t="str">
            <v>CUMEEIRA COM TELHA GOIVA</v>
          </cell>
          <cell r="C147" t="str">
            <v>m</v>
          </cell>
          <cell r="D147">
            <v>20.37</v>
          </cell>
        </row>
        <row r="148">
          <cell r="A148" t="str">
            <v>070303U</v>
          </cell>
          <cell r="B148" t="str">
            <v>COBERTURA COM TELHA DE VIDRO TIPO FRANCESA</v>
          </cell>
          <cell r="C148" t="str">
            <v>m2</v>
          </cell>
          <cell r="D148">
            <v>441.77</v>
          </cell>
        </row>
        <row r="149">
          <cell r="A149" t="str">
            <v>070304U</v>
          </cell>
          <cell r="B149" t="str">
            <v>COBERTURA C/ TELHA OND. DE FIBROC. E= 6 MM</v>
          </cell>
          <cell r="C149" t="str">
            <v>m2</v>
          </cell>
          <cell r="D149">
            <v>21.02</v>
          </cell>
        </row>
        <row r="150">
          <cell r="A150" t="str">
            <v>070305U</v>
          </cell>
          <cell r="B150" t="str">
            <v>CUMEEIRA NORMAL DE FIBROCIMENTO</v>
          </cell>
          <cell r="C150" t="str">
            <v>m</v>
          </cell>
          <cell r="D150">
            <v>28.21</v>
          </cell>
        </row>
        <row r="151">
          <cell r="A151" t="str">
            <v>070306U</v>
          </cell>
          <cell r="B151" t="str">
            <v>RUFO ESQUERDO DE FIBROCIMENTO</v>
          </cell>
          <cell r="C151" t="str">
            <v>m</v>
          </cell>
          <cell r="D151">
            <v>22.52</v>
          </cell>
        </row>
        <row r="152">
          <cell r="A152" t="str">
            <v>070307U</v>
          </cell>
          <cell r="B152" t="str">
            <v>COBERTURA COM TELHA DE FIBROCIMENTO E= 8 MM</v>
          </cell>
          <cell r="C152" t="str">
            <v>m2</v>
          </cell>
          <cell r="D152">
            <v>26.14</v>
          </cell>
        </row>
        <row r="153">
          <cell r="A153" t="str">
            <v>070308U</v>
          </cell>
          <cell r="B153" t="str">
            <v>CUMEEIRA NORMAL FIBROC. C/ PLACA VENTILACAO</v>
          </cell>
          <cell r="C153" t="str">
            <v>m</v>
          </cell>
          <cell r="D153">
            <v>84.42</v>
          </cell>
        </row>
        <row r="154">
          <cell r="A154" t="str">
            <v>070309U</v>
          </cell>
          <cell r="B154" t="str">
            <v>TELHA CLARABOIA DE FIBROC 1,83X1,10M</v>
          </cell>
          <cell r="C154" t="str">
            <v>un</v>
          </cell>
          <cell r="D154">
            <v>134.57</v>
          </cell>
        </row>
        <row r="155">
          <cell r="A155" t="str">
            <v>070310U</v>
          </cell>
          <cell r="B155" t="str">
            <v>CUMEEIRA UNIVERSAL DE FIBROCIMENTO E= 6 MM</v>
          </cell>
          <cell r="C155" t="str">
            <v>m</v>
          </cell>
          <cell r="D155">
            <v>28.68</v>
          </cell>
        </row>
        <row r="156">
          <cell r="A156" t="str">
            <v>070311U</v>
          </cell>
          <cell r="B156" t="str">
            <v>CUMEEIRA ART. REBAIXADA FIBROC. E= 6 MM</v>
          </cell>
          <cell r="C156" t="str">
            <v>m</v>
          </cell>
          <cell r="D156">
            <v>35</v>
          </cell>
        </row>
        <row r="157">
          <cell r="A157" t="str">
            <v>070312U</v>
          </cell>
          <cell r="B157" t="str">
            <v>ESPIGAO PLANO DE FIBROCIMENTO E= 6 MM</v>
          </cell>
          <cell r="C157" t="str">
            <v>m</v>
          </cell>
          <cell r="D157">
            <v>24.23</v>
          </cell>
        </row>
        <row r="158">
          <cell r="A158" t="str">
            <v>070313U</v>
          </cell>
          <cell r="B158" t="str">
            <v>TESTEIRA DE PINHO 1" X 6" CEPILHADA DE 1A</v>
          </cell>
          <cell r="C158" t="str">
            <v>m</v>
          </cell>
          <cell r="D158">
            <v>14.53</v>
          </cell>
        </row>
        <row r="159">
          <cell r="A159" t="str">
            <v>070314U</v>
          </cell>
          <cell r="B159" t="str">
            <v>TESTEIRA DE PINHO 1" X 8" CEPILHADA DE 1A</v>
          </cell>
          <cell r="C159" t="str">
            <v>m</v>
          </cell>
          <cell r="D159">
            <v>18.62</v>
          </cell>
        </row>
        <row r="160">
          <cell r="A160" t="str">
            <v>070315U</v>
          </cell>
          <cell r="B160" t="str">
            <v>COBERTURA COM TELHA TRANSLUCIDA PERFIL ONDULADO 6 MM</v>
          </cell>
          <cell r="C160" t="str">
            <v>m2</v>
          </cell>
          <cell r="D160">
            <v>28.77</v>
          </cell>
        </row>
        <row r="161">
          <cell r="A161" t="str">
            <v>070316U</v>
          </cell>
          <cell r="B161" t="str">
            <v>COBERTURA COM TELHA DE FIBROCIMENTO TIPO KALHETAO</v>
          </cell>
          <cell r="C161" t="str">
            <v>m2</v>
          </cell>
          <cell r="D161">
            <v>63.33</v>
          </cell>
        </row>
        <row r="162">
          <cell r="A162" t="str">
            <v>070317U</v>
          </cell>
          <cell r="B162" t="str">
            <v>COBERTURA COM TELHA DE FIBROCIMENTO CANALETE 49</v>
          </cell>
          <cell r="C162" t="str">
            <v>m2</v>
          </cell>
          <cell r="D162">
            <v>76.53</v>
          </cell>
        </row>
        <row r="163">
          <cell r="A163" t="str">
            <v>070318U</v>
          </cell>
          <cell r="B163" t="str">
            <v>PLACA PARA VENTILACAO PARA TELHA CANALETE 49</v>
          </cell>
          <cell r="C163" t="str">
            <v>un</v>
          </cell>
          <cell r="D163">
            <v>3.3</v>
          </cell>
        </row>
        <row r="164">
          <cell r="A164" t="str">
            <v>070319U</v>
          </cell>
          <cell r="B164" t="str">
            <v>COBERTURA COM TELHA CERÂMICA TIPO ROMANA</v>
          </cell>
          <cell r="C164" t="str">
            <v>m2</v>
          </cell>
          <cell r="D164">
            <v>31.94</v>
          </cell>
        </row>
        <row r="165">
          <cell r="A165" t="str">
            <v>070320U</v>
          </cell>
          <cell r="B165" t="str">
            <v>COBERTURA COM TELHA CERÂMICA CAPA E CANAL</v>
          </cell>
          <cell r="C165" t="str">
            <v>m2</v>
          </cell>
          <cell r="D165">
            <v>49.5</v>
          </cell>
        </row>
        <row r="166">
          <cell r="A166" t="str">
            <v>070321U</v>
          </cell>
          <cell r="B166" t="str">
            <v>COBERTURA COM TELHA CERÂMICA TIPO ROMANA ESMALTADA</v>
          </cell>
          <cell r="C166" t="str">
            <v>m2</v>
          </cell>
          <cell r="D166">
            <v>40.799999999999997</v>
          </cell>
        </row>
        <row r="167">
          <cell r="A167" t="str">
            <v>070322U</v>
          </cell>
          <cell r="B167" t="str">
            <v>COBERTURA COM TELHA CERÂMICA TIPO PORTUGUESA</v>
          </cell>
          <cell r="C167" t="str">
            <v>m2</v>
          </cell>
          <cell r="D167">
            <v>32.119999999999997</v>
          </cell>
        </row>
        <row r="168">
          <cell r="A168" t="str">
            <v>070323U</v>
          </cell>
          <cell r="B168" t="str">
            <v>CUMEEIRA COM TELHA GOIVA ESMALTADA</v>
          </cell>
          <cell r="C168" t="str">
            <v>m</v>
          </cell>
          <cell r="D168">
            <v>34.08</v>
          </cell>
        </row>
        <row r="169">
          <cell r="A169" t="str">
            <v>070324U</v>
          </cell>
          <cell r="B169" t="str">
            <v>CUMEEIRA AÇO ZINCADA PRÉ-PINT. 01 FACE P/ TELHAS OND. OU TRAPEZOIDAIS</v>
          </cell>
          <cell r="C169" t="str">
            <v>m</v>
          </cell>
          <cell r="D169">
            <v>34.020000000000003</v>
          </cell>
        </row>
        <row r="170">
          <cell r="A170" t="str">
            <v>070325U</v>
          </cell>
          <cell r="B170" t="str">
            <v>CUMEEIRA AÇO ZINCADA PRÉ-PINT. 02 FACES P/ TELHAS OND. OU TRAPEZOIDAIS</v>
          </cell>
          <cell r="C170" t="str">
            <v>m</v>
          </cell>
          <cell r="D170">
            <v>35.619999999999997</v>
          </cell>
        </row>
        <row r="171">
          <cell r="A171" t="str">
            <v>070326U</v>
          </cell>
          <cell r="B171" t="str">
            <v>TELHA DE AÇO ZINCADA E= 0,5 MM ONDULADA H= 17 MM</v>
          </cell>
          <cell r="C171" t="str">
            <v>m2</v>
          </cell>
          <cell r="D171">
            <v>32.94</v>
          </cell>
        </row>
        <row r="172">
          <cell r="A172" t="str">
            <v>070327U</v>
          </cell>
          <cell r="B172" t="str">
            <v>TELHA AÇO ZINCADA E= 0,5MM ONDULADA H= 17 MM PRÉ-PINT. 01 FACE</v>
          </cell>
          <cell r="C172" t="str">
            <v>m2</v>
          </cell>
          <cell r="D172">
            <v>43.31</v>
          </cell>
        </row>
        <row r="173">
          <cell r="A173" t="str">
            <v>070328U</v>
          </cell>
          <cell r="B173" t="str">
            <v>TELHA AÇO ZINCADA E= 0,5 MM ONDULADA H=17 MM PRÉ-PINT. 02 FACES</v>
          </cell>
          <cell r="C173" t="str">
            <v>m2</v>
          </cell>
          <cell r="D173">
            <v>51.06</v>
          </cell>
        </row>
        <row r="174">
          <cell r="A174" t="str">
            <v>070329U</v>
          </cell>
          <cell r="B174" t="str">
            <v>TELHA AÇO ZINCADA E= 0,5 MM TRAPEZOIDAL H= 40 MM</v>
          </cell>
          <cell r="C174" t="str">
            <v>m2</v>
          </cell>
          <cell r="D174">
            <v>33.630000000000003</v>
          </cell>
        </row>
        <row r="175">
          <cell r="A175" t="str">
            <v>070330U</v>
          </cell>
          <cell r="B175" t="str">
            <v>TELHA FIBRA DE VIDRO TRANSLÚCIDA E= 1,5 MM PERFIL ONDULADA</v>
          </cell>
          <cell r="C175" t="str">
            <v>m2</v>
          </cell>
          <cell r="D175">
            <v>63.66</v>
          </cell>
        </row>
        <row r="176">
          <cell r="A176" t="str">
            <v>070331U</v>
          </cell>
          <cell r="B176" t="str">
            <v>TELHA FIBRA DE VIDRO TRANSLÚCIDA E= 1,5 MM PERFIL TRAPEZOIDAL</v>
          </cell>
          <cell r="C176" t="str">
            <v>m2</v>
          </cell>
          <cell r="D176">
            <v>63.66</v>
          </cell>
        </row>
        <row r="177">
          <cell r="A177" t="str">
            <v>070332U</v>
          </cell>
          <cell r="B177" t="str">
            <v>TELHA AÇO ZINCADA E= 0,5 MM TRAPEZOIDAL H=40 MM PRÉ-PINT. 01 FACE</v>
          </cell>
          <cell r="C177" t="str">
            <v>m2</v>
          </cell>
          <cell r="D177">
            <v>43.31</v>
          </cell>
        </row>
        <row r="178">
          <cell r="A178" t="str">
            <v>070333U</v>
          </cell>
          <cell r="B178" t="str">
            <v>TELHA AÇO ZINCADA E= 0,5 MM TRAPEZOIDAL H= 40MM PRÉ-PINT. 02 FACES</v>
          </cell>
          <cell r="C178" t="str">
            <v>m2</v>
          </cell>
          <cell r="D178">
            <v>51.06</v>
          </cell>
        </row>
        <row r="179">
          <cell r="A179" t="str">
            <v>070334U</v>
          </cell>
          <cell r="B179" t="str">
            <v>CUMEEIRA EM AÇO ZINCADA PARA TELHA ONDULADA OU TRAPEZOIDAL</v>
          </cell>
          <cell r="C179" t="str">
            <v>m</v>
          </cell>
          <cell r="D179">
            <v>24.78</v>
          </cell>
        </row>
        <row r="180">
          <cell r="A180">
            <v>70400</v>
          </cell>
          <cell r="B180" t="str">
            <v>FUNILARIA</v>
          </cell>
        </row>
        <row r="181">
          <cell r="A181" t="str">
            <v>070401U</v>
          </cell>
          <cell r="B181" t="str">
            <v>RUFO CHAPA GALV. 26 CORTE= 0,15M COLOCADO</v>
          </cell>
          <cell r="C181" t="str">
            <v>m</v>
          </cell>
          <cell r="D181">
            <v>12.03</v>
          </cell>
        </row>
        <row r="182">
          <cell r="A182" t="str">
            <v>070402U</v>
          </cell>
          <cell r="B182" t="str">
            <v>CALHA CHAPA GALV. 26 CORTE= 0,30M COLOCADA</v>
          </cell>
          <cell r="C182" t="str">
            <v>m</v>
          </cell>
          <cell r="D182">
            <v>24.06</v>
          </cell>
        </row>
        <row r="183">
          <cell r="A183" t="str">
            <v>070403U</v>
          </cell>
          <cell r="B183" t="str">
            <v>CALHA CHAPA GALV. 26 CORTE= 0,4 M COLOCADA</v>
          </cell>
          <cell r="C183" t="str">
            <v>m</v>
          </cell>
          <cell r="D183">
            <v>32</v>
          </cell>
        </row>
        <row r="184">
          <cell r="A184" t="str">
            <v>070404U</v>
          </cell>
          <cell r="B184" t="str">
            <v>CALHA CHAPA GALV. 26 CORTE= 0,50M COLOCADA</v>
          </cell>
          <cell r="C184" t="str">
            <v>m</v>
          </cell>
          <cell r="D184">
            <v>40.06</v>
          </cell>
        </row>
        <row r="185">
          <cell r="A185" t="str">
            <v>070405U</v>
          </cell>
          <cell r="B185" t="str">
            <v>CALHA CHAPA GALV. 26 CORTE= 0,6 M COLOCADA</v>
          </cell>
          <cell r="C185" t="str">
            <v>m</v>
          </cell>
          <cell r="D185">
            <v>48.12</v>
          </cell>
        </row>
        <row r="186">
          <cell r="A186" t="str">
            <v>070406U</v>
          </cell>
          <cell r="B186" t="str">
            <v>CONDUTOR CHAPA GALV. 26 D=0,10M COLOCADO</v>
          </cell>
          <cell r="C186" t="str">
            <v>m</v>
          </cell>
          <cell r="D186">
            <v>28.03</v>
          </cell>
        </row>
        <row r="187">
          <cell r="A187">
            <v>80000</v>
          </cell>
          <cell r="B187" t="str">
            <v>REVESTIMENTO DE PAREDES</v>
          </cell>
        </row>
        <row r="188">
          <cell r="A188">
            <v>80100</v>
          </cell>
          <cell r="B188" t="str">
            <v>REVESTIMENTO DE PAREDES INTERNAS</v>
          </cell>
        </row>
        <row r="189">
          <cell r="A189" t="str">
            <v>080101U</v>
          </cell>
          <cell r="B189" t="str">
            <v>CHAPISCO COM ARGAMASSA DE CIMENTO E AREIA 1:3</v>
          </cell>
          <cell r="C189" t="str">
            <v>m2</v>
          </cell>
          <cell r="D189">
            <v>4.74</v>
          </cell>
        </row>
        <row r="190">
          <cell r="A190" t="str">
            <v>080102U</v>
          </cell>
          <cell r="B190" t="str">
            <v>EMB. C/ ARG. CIMENTO, CAL E AREIA TRACO 1:2:6</v>
          </cell>
          <cell r="C190" t="str">
            <v>m2</v>
          </cell>
          <cell r="D190">
            <v>18.09</v>
          </cell>
        </row>
        <row r="191">
          <cell r="A191" t="str">
            <v>080103U</v>
          </cell>
          <cell r="B191" t="str">
            <v>REBOCO COM ARGAMASSA DE CAL E AREIA</v>
          </cell>
          <cell r="C191" t="str">
            <v>m2</v>
          </cell>
          <cell r="D191">
            <v>12.15</v>
          </cell>
        </row>
        <row r="192">
          <cell r="A192" t="str">
            <v>080104U</v>
          </cell>
          <cell r="B192" t="str">
            <v>AZUL BCO 15X15CM 1A ASSENT.C/CIM. COLANTE</v>
          </cell>
          <cell r="C192" t="str">
            <v>m2</v>
          </cell>
          <cell r="D192">
            <v>39.81</v>
          </cell>
        </row>
        <row r="193">
          <cell r="A193">
            <v>80200</v>
          </cell>
          <cell r="B193" t="str">
            <v>REVESTIMENTO DE PAREDES EXTERNAS</v>
          </cell>
        </row>
        <row r="194">
          <cell r="A194" t="str">
            <v>080201U</v>
          </cell>
          <cell r="B194" t="str">
            <v>CHAPISCO GROSSO</v>
          </cell>
          <cell r="C194" t="str">
            <v>m2</v>
          </cell>
          <cell r="D194">
            <v>7.59</v>
          </cell>
        </row>
        <row r="195">
          <cell r="A195" t="str">
            <v>080202U</v>
          </cell>
          <cell r="B195" t="str">
            <v>CHAPISCO COM ARGAMASSA DE CIMENTO E AREIA 1:3</v>
          </cell>
          <cell r="C195" t="str">
            <v>m2</v>
          </cell>
          <cell r="D195">
            <v>4.74</v>
          </cell>
        </row>
        <row r="196">
          <cell r="A196" t="str">
            <v>080203U</v>
          </cell>
          <cell r="B196" t="str">
            <v>EMB.C/ ARG. CIMENTO, CAL E AREIA TRACO 1:2:6</v>
          </cell>
          <cell r="C196" t="str">
            <v>m2</v>
          </cell>
          <cell r="D196">
            <v>18.09</v>
          </cell>
        </row>
        <row r="197">
          <cell r="A197" t="str">
            <v>080204U</v>
          </cell>
          <cell r="B197" t="str">
            <v>REBOCO COM ARGAMASSA DE CAL E AREIA</v>
          </cell>
          <cell r="C197" t="str">
            <v>m2</v>
          </cell>
          <cell r="D197">
            <v>12.15</v>
          </cell>
        </row>
        <row r="198">
          <cell r="A198" t="str">
            <v>080205U</v>
          </cell>
          <cell r="B198" t="str">
            <v>ARGAMASSA DE CIMENTO E AREIA 1:3</v>
          </cell>
          <cell r="C198" t="str">
            <v>m3</v>
          </cell>
          <cell r="D198">
            <v>407.48</v>
          </cell>
        </row>
        <row r="199">
          <cell r="A199" t="str">
            <v>080206U</v>
          </cell>
          <cell r="B199" t="str">
            <v>EMBOÇO RISCADO</v>
          </cell>
          <cell r="C199" t="str">
            <v>m2</v>
          </cell>
          <cell r="D199">
            <v>18.09</v>
          </cell>
        </row>
        <row r="200">
          <cell r="A200">
            <v>90000</v>
          </cell>
          <cell r="B200" t="str">
            <v>REVESTIMENTO DE FORROS</v>
          </cell>
        </row>
        <row r="201">
          <cell r="A201">
            <v>90100</v>
          </cell>
          <cell r="B201" t="str">
            <v>REVESTIMENTO DE LAJES</v>
          </cell>
        </row>
        <row r="202">
          <cell r="A202" t="str">
            <v>090101U</v>
          </cell>
          <cell r="B202" t="str">
            <v>CHAPISCO COM ARGAMASSA DE CIMENTO E AREIA 1:3</v>
          </cell>
          <cell r="C202" t="str">
            <v>m2</v>
          </cell>
          <cell r="D202">
            <v>4.74</v>
          </cell>
        </row>
        <row r="203">
          <cell r="A203" t="str">
            <v>090102U</v>
          </cell>
          <cell r="B203" t="str">
            <v>EMB. C/ ARG. CIMENTO, CAL E AREIA TRACO 1:2:6</v>
          </cell>
          <cell r="C203" t="str">
            <v>m2</v>
          </cell>
          <cell r="D203">
            <v>18.09</v>
          </cell>
        </row>
        <row r="204">
          <cell r="A204" t="str">
            <v>090103U</v>
          </cell>
          <cell r="B204" t="str">
            <v>REBOCO COM ARGAMASSA DE CAL E AREIA</v>
          </cell>
          <cell r="C204" t="str">
            <v>m2</v>
          </cell>
          <cell r="D204">
            <v>12.15</v>
          </cell>
        </row>
        <row r="205">
          <cell r="A205">
            <v>90200</v>
          </cell>
          <cell r="B205" t="str">
            <v>REVESTIMENTO DE FORROS</v>
          </cell>
        </row>
        <row r="206">
          <cell r="A206" t="str">
            <v>090201U</v>
          </cell>
          <cell r="B206" t="str">
            <v>FORRO PAULISTA PINHO 1A COM TARUGAMENTO</v>
          </cell>
          <cell r="C206" t="str">
            <v>m2</v>
          </cell>
          <cell r="D206">
            <v>84.31</v>
          </cell>
        </row>
        <row r="207">
          <cell r="A207" t="str">
            <v>090202U</v>
          </cell>
          <cell r="B207" t="str">
            <v>FORRO DE PINUS 1A INCLUSIVE TARUGAMENTO</v>
          </cell>
          <cell r="C207" t="str">
            <v>m2</v>
          </cell>
          <cell r="D207">
            <v>46.78</v>
          </cell>
        </row>
        <row r="208">
          <cell r="A208" t="str">
            <v>090203U</v>
          </cell>
          <cell r="B208" t="str">
            <v>MEIA CANA DE PINHO 1" X 1"</v>
          </cell>
          <cell r="C208" t="str">
            <v>m</v>
          </cell>
          <cell r="D208">
            <v>5.13</v>
          </cell>
        </row>
        <row r="209">
          <cell r="A209" t="str">
            <v>090204U</v>
          </cell>
          <cell r="B209" t="str">
            <v>FORRO PVC LAMBRI LARG.10CM C/TARUGAMENTO</v>
          </cell>
          <cell r="C209" t="str">
            <v>m2</v>
          </cell>
          <cell r="D209">
            <v>32.479999999999997</v>
          </cell>
        </row>
        <row r="210">
          <cell r="A210" t="str">
            <v>090205U</v>
          </cell>
          <cell r="B210" t="str">
            <v>FORRO DE GESSO LISO INCLUSIVE TARUGAMENTO</v>
          </cell>
          <cell r="C210" t="str">
            <v>m2</v>
          </cell>
          <cell r="D210">
            <v>30.08</v>
          </cell>
        </row>
        <row r="211">
          <cell r="A211" t="str">
            <v>090206U</v>
          </cell>
          <cell r="B211" t="str">
            <v>DESTAQUE 1,5 X 1,5 CM PARA FORRO DE GESSO</v>
          </cell>
          <cell r="C211" t="str">
            <v>m</v>
          </cell>
          <cell r="D211">
            <v>9.6199999999999992</v>
          </cell>
        </row>
        <row r="212">
          <cell r="A212" t="str">
            <v>090207U</v>
          </cell>
          <cell r="B212" t="str">
            <v>DESTAQUE 2,0 X 2,0 CM PARA FORRO DE GESSO</v>
          </cell>
          <cell r="C212" t="str">
            <v>m</v>
          </cell>
          <cell r="D212">
            <v>9.6199999999999992</v>
          </cell>
        </row>
        <row r="213">
          <cell r="A213">
            <v>100000</v>
          </cell>
          <cell r="B213" t="str">
            <v>REVESTIMENTO DE PISOS</v>
          </cell>
        </row>
        <row r="214">
          <cell r="A214">
            <v>100100</v>
          </cell>
          <cell r="B214" t="str">
            <v>LASTROS E CONTRAPISOS</v>
          </cell>
        </row>
        <row r="215">
          <cell r="A215" t="str">
            <v>100101U</v>
          </cell>
          <cell r="B215" t="str">
            <v>LASTRO DE BRITA 2 APILOADO</v>
          </cell>
          <cell r="C215" t="str">
            <v>m3</v>
          </cell>
          <cell r="D215">
            <v>83.23</v>
          </cell>
        </row>
        <row r="216">
          <cell r="A216" t="str">
            <v>100102U</v>
          </cell>
          <cell r="B216" t="str">
            <v>LASTRO DE CONCRETO MAGRO</v>
          </cell>
          <cell r="C216" t="str">
            <v>m3</v>
          </cell>
          <cell r="D216">
            <v>301.73</v>
          </cell>
        </row>
        <row r="217">
          <cell r="A217" t="str">
            <v>100103U</v>
          </cell>
          <cell r="B217" t="str">
            <v>LASTRO DE CONCRETO FCK= 15,0 MPA</v>
          </cell>
          <cell r="C217" t="str">
            <v>m3</v>
          </cell>
          <cell r="D217">
            <v>373.21</v>
          </cell>
        </row>
        <row r="218">
          <cell r="A218">
            <v>100200</v>
          </cell>
          <cell r="B218" t="str">
            <v>REVESTIMENTO DE PISOS</v>
          </cell>
        </row>
        <row r="219">
          <cell r="A219" t="str">
            <v>100201U</v>
          </cell>
          <cell r="B219" t="str">
            <v>REGUL. DE PISO C/ ARG. DE CIMENTO E AREIA 1:4</v>
          </cell>
          <cell r="C219" t="str">
            <v>m2</v>
          </cell>
          <cell r="D219">
            <v>17.97</v>
          </cell>
        </row>
        <row r="220">
          <cell r="A220" t="str">
            <v>100202U</v>
          </cell>
          <cell r="B220" t="str">
            <v>PISO CERAMICO EXTRA 20 X 20 CM</v>
          </cell>
          <cell r="C220" t="str">
            <v>m2</v>
          </cell>
          <cell r="D220">
            <v>45.4</v>
          </cell>
        </row>
        <row r="221">
          <cell r="A221" t="str">
            <v>100203U</v>
          </cell>
          <cell r="B221" t="str">
            <v>PISO CERAMICO ANTI-DERRAPANTE PEI-4</v>
          </cell>
          <cell r="C221" t="str">
            <v>m2</v>
          </cell>
          <cell r="D221">
            <v>52.48</v>
          </cell>
        </row>
        <row r="222">
          <cell r="A222" t="str">
            <v>100204U</v>
          </cell>
          <cell r="B222" t="str">
            <v>LAJOTA COLONIAL 30 X 30 CM ESMALTADA 1A QUALIDADE</v>
          </cell>
          <cell r="C222" t="str">
            <v>m2</v>
          </cell>
          <cell r="D222">
            <v>42.08</v>
          </cell>
        </row>
        <row r="223">
          <cell r="A223" t="str">
            <v>100205U</v>
          </cell>
          <cell r="B223" t="str">
            <v>TACOS DE IMBUIA FIXADOS COM COLA</v>
          </cell>
          <cell r="C223" t="str">
            <v>m2</v>
          </cell>
          <cell r="D223">
            <v>91.75</v>
          </cell>
        </row>
        <row r="224">
          <cell r="A224" t="str">
            <v>100206U</v>
          </cell>
          <cell r="B224" t="str">
            <v>PARQUETE DE IMBUIA FIXADOS COM COLA</v>
          </cell>
          <cell r="C224" t="str">
            <v>m2</v>
          </cell>
          <cell r="D224">
            <v>69.95</v>
          </cell>
        </row>
        <row r="225">
          <cell r="A225" t="str">
            <v>100207U</v>
          </cell>
          <cell r="B225" t="str">
            <v>LIXAMENTO DE TACOS E PARQUETES</v>
          </cell>
          <cell r="C225" t="str">
            <v>m2</v>
          </cell>
          <cell r="D225">
            <v>9.6199999999999992</v>
          </cell>
        </row>
        <row r="226">
          <cell r="A226" t="str">
            <v>100208U</v>
          </cell>
          <cell r="B226" t="str">
            <v>LIXAMENTO,CALAF, ENC.DE TACOS E PARQUETES</v>
          </cell>
          <cell r="C226" t="str">
            <v>m2</v>
          </cell>
          <cell r="D226">
            <v>25.27</v>
          </cell>
        </row>
        <row r="227">
          <cell r="A227" t="str">
            <v>100209U</v>
          </cell>
          <cell r="B227" t="str">
            <v>PISO DE GRANITINA COM JUNTAS DE DILATACAO</v>
          </cell>
          <cell r="C227" t="str">
            <v>m2</v>
          </cell>
          <cell r="D227">
            <v>57.5</v>
          </cell>
        </row>
        <row r="228">
          <cell r="A228" t="str">
            <v>100210U</v>
          </cell>
          <cell r="B228" t="str">
            <v>PISO VINILICO 30 X 30 CM, E= 2 MM</v>
          </cell>
          <cell r="C228" t="str">
            <v>m2</v>
          </cell>
          <cell r="D228">
            <v>51.85</v>
          </cell>
        </row>
        <row r="229">
          <cell r="A229" t="str">
            <v>100211U</v>
          </cell>
          <cell r="B229" t="str">
            <v>PISO VINILICO 30 X 30 CM, E= 3,2 MM</v>
          </cell>
          <cell r="C229" t="str">
            <v>m2</v>
          </cell>
          <cell r="D229">
            <v>67.13</v>
          </cell>
        </row>
        <row r="230">
          <cell r="A230" t="str">
            <v>100212U</v>
          </cell>
          <cell r="B230" t="str">
            <v>PISO DE CIMENTO ALISADO</v>
          </cell>
          <cell r="C230" t="str">
            <v>m2</v>
          </cell>
          <cell r="D230">
            <v>27.89</v>
          </cell>
        </row>
        <row r="231">
          <cell r="A231">
            <v>100400</v>
          </cell>
          <cell r="B231" t="str">
            <v>DEGRAUS, RODAPÉS, SOLEIRAS E PEITORIS</v>
          </cell>
        </row>
        <row r="232">
          <cell r="A232" t="str">
            <v>100401U</v>
          </cell>
          <cell r="B232" t="str">
            <v>RODAPE DE IMBUIA 3/4" X 3"</v>
          </cell>
          <cell r="C232" t="str">
            <v>m</v>
          </cell>
          <cell r="D232">
            <v>18.95</v>
          </cell>
        </row>
        <row r="233">
          <cell r="A233" t="str">
            <v>100402U</v>
          </cell>
          <cell r="B233" t="str">
            <v>RODAPE DE PINHO 3/4" X 3"</v>
          </cell>
          <cell r="C233" t="str">
            <v>m</v>
          </cell>
          <cell r="D233">
            <v>16.96</v>
          </cell>
        </row>
        <row r="234">
          <cell r="A234" t="str">
            <v>100403U</v>
          </cell>
          <cell r="B234" t="str">
            <v>RODAPE CERAMICO</v>
          </cell>
          <cell r="C234" t="str">
            <v>m</v>
          </cell>
          <cell r="D234">
            <v>22.89</v>
          </cell>
        </row>
        <row r="235">
          <cell r="A235" t="str">
            <v>100404U</v>
          </cell>
          <cell r="B235" t="str">
            <v>PEITORIL DE CERAMICA VERMELHA 12 X 15 CM</v>
          </cell>
          <cell r="C235" t="str">
            <v>m</v>
          </cell>
          <cell r="D235">
            <v>34.630000000000003</v>
          </cell>
        </row>
        <row r="236">
          <cell r="A236" t="str">
            <v>100405U</v>
          </cell>
          <cell r="B236" t="str">
            <v>SOLEIRA DE CERAMICA VERMELHA 12 X 25 CM</v>
          </cell>
          <cell r="C236" t="str">
            <v>m</v>
          </cell>
          <cell r="D236">
            <v>44.26</v>
          </cell>
        </row>
        <row r="237">
          <cell r="A237" t="str">
            <v>100406U</v>
          </cell>
          <cell r="B237" t="str">
            <v>RODAPE DE GRANITINA H= 8 CM</v>
          </cell>
          <cell r="C237" t="str">
            <v>m</v>
          </cell>
          <cell r="D237">
            <v>24.21</v>
          </cell>
        </row>
        <row r="238">
          <cell r="A238" t="str">
            <v>100407U</v>
          </cell>
          <cell r="B238" t="str">
            <v>RODAPE DE GRANITINA CURVO TIPO HOSPITALAR H= 10 CM</v>
          </cell>
          <cell r="C238" t="str">
            <v>m</v>
          </cell>
          <cell r="D238">
            <v>38.369999999999997</v>
          </cell>
        </row>
        <row r="239">
          <cell r="A239" t="str">
            <v>100408U</v>
          </cell>
          <cell r="B239" t="str">
            <v>RODAPE VINILICO H= 5 CM</v>
          </cell>
          <cell r="C239" t="str">
            <v>m</v>
          </cell>
          <cell r="D239">
            <v>6.86</v>
          </cell>
        </row>
        <row r="240">
          <cell r="A240" t="str">
            <v>100409U</v>
          </cell>
          <cell r="B240" t="str">
            <v>RODAPE VINILICO H= 7,5 CM</v>
          </cell>
          <cell r="C240" t="str">
            <v>m</v>
          </cell>
          <cell r="D240">
            <v>8.9</v>
          </cell>
        </row>
        <row r="241">
          <cell r="A241" t="str">
            <v>100410U</v>
          </cell>
          <cell r="B241" t="str">
            <v>RODAPE DE CIMENTO ALISADO H= 8 CM</v>
          </cell>
          <cell r="C241" t="str">
            <v>m</v>
          </cell>
          <cell r="D241">
            <v>7.19</v>
          </cell>
        </row>
        <row r="242">
          <cell r="A242">
            <v>110000</v>
          </cell>
          <cell r="B242" t="str">
            <v>ESQUADRIAS</v>
          </cell>
        </row>
        <row r="243">
          <cell r="A243">
            <v>110100</v>
          </cell>
          <cell r="B243" t="str">
            <v>ESQUADRIAS DE MADEIRA</v>
          </cell>
        </row>
        <row r="244">
          <cell r="A244" t="str">
            <v>110101U</v>
          </cell>
          <cell r="B244" t="str">
            <v>PORTA INTERNA CHAP.IMBUIA 0,60 X 2,10 M COMP.</v>
          </cell>
          <cell r="C244" t="str">
            <v>un</v>
          </cell>
          <cell r="D244">
            <v>333.82</v>
          </cell>
        </row>
        <row r="245">
          <cell r="A245" t="str">
            <v>110102U</v>
          </cell>
          <cell r="B245" t="str">
            <v>PORTA INTERNA CHAP. IMBUIA 0,70 X 2,10 COMP.</v>
          </cell>
          <cell r="C245" t="str">
            <v>un</v>
          </cell>
          <cell r="D245">
            <v>333.82</v>
          </cell>
        </row>
        <row r="246">
          <cell r="A246" t="str">
            <v>110103U</v>
          </cell>
          <cell r="B246" t="str">
            <v>PORTA INTERNA CHAP. IMBUIA 0,80 X 2,10 COMP.</v>
          </cell>
          <cell r="C246" t="str">
            <v>un</v>
          </cell>
          <cell r="D246">
            <v>333.82</v>
          </cell>
        </row>
        <row r="247">
          <cell r="A247" t="str">
            <v>110104U</v>
          </cell>
          <cell r="B247" t="str">
            <v>PORTA EXT. ALMOF. IMBUIA 0,80 X 2,10M COMP.</v>
          </cell>
          <cell r="C247" t="str">
            <v>un</v>
          </cell>
          <cell r="D247">
            <v>518.62</v>
          </cell>
        </row>
        <row r="248">
          <cell r="A248">
            <v>110100</v>
          </cell>
          <cell r="B248" t="str">
            <v>ESQUADRIAS DE FERRO</v>
          </cell>
        </row>
        <row r="249">
          <cell r="A249" t="str">
            <v>110301U</v>
          </cell>
          <cell r="B249" t="str">
            <v>JANELA EM PERFIL DE FERRO BASCULANTE OU FIXO</v>
          </cell>
          <cell r="C249" t="str">
            <v>m2</v>
          </cell>
          <cell r="D249">
            <v>186.6</v>
          </cell>
        </row>
        <row r="250">
          <cell r="A250" t="str">
            <v>110302U</v>
          </cell>
          <cell r="B250" t="str">
            <v>JANELA PERFIL FERRO BASC. / FIXO ATE 1,00 M2</v>
          </cell>
          <cell r="C250" t="str">
            <v>un</v>
          </cell>
          <cell r="D250">
            <v>186.6</v>
          </cell>
        </row>
        <row r="251">
          <cell r="A251" t="str">
            <v>110303U</v>
          </cell>
          <cell r="B251" t="str">
            <v>GRADE PROTECAO TIPO TIJOLINHO C/ FERRO 3/8"</v>
          </cell>
          <cell r="C251" t="str">
            <v>m2</v>
          </cell>
          <cell r="D251">
            <v>141.44999999999999</v>
          </cell>
        </row>
        <row r="252">
          <cell r="A252">
            <v>120000</v>
          </cell>
          <cell r="B252" t="str">
            <v>FERRAGENS</v>
          </cell>
        </row>
        <row r="253">
          <cell r="A253">
            <v>120100</v>
          </cell>
          <cell r="B253" t="str">
            <v>FECHADURAS</v>
          </cell>
        </row>
        <row r="254">
          <cell r="A254" t="str">
            <v>120101U</v>
          </cell>
          <cell r="B254" t="str">
            <v>FECHADURA PARA PORTA EXTERNA MOD. 725/41 PADO OU SIMILAR</v>
          </cell>
          <cell r="C254" t="str">
            <v>un</v>
          </cell>
          <cell r="D254">
            <v>122.5</v>
          </cell>
        </row>
        <row r="255">
          <cell r="A255" t="str">
            <v>120102U</v>
          </cell>
          <cell r="B255" t="str">
            <v>FECHADURA PARA PORTA INTERNA MOD. 721/41 PADO OU SIMILAR</v>
          </cell>
          <cell r="C255" t="str">
            <v>un</v>
          </cell>
          <cell r="D255">
            <v>106.02</v>
          </cell>
        </row>
        <row r="256">
          <cell r="A256" t="str">
            <v>120103U</v>
          </cell>
          <cell r="B256" t="str">
            <v>FECHADURA PARA PORTA DE BANHEIRO MOD. 722/41 PADO OU SIMILAR</v>
          </cell>
          <cell r="C256" t="str">
            <v>un</v>
          </cell>
          <cell r="D256">
            <v>106.02</v>
          </cell>
        </row>
        <row r="257">
          <cell r="A257" t="str">
            <v>120104U</v>
          </cell>
          <cell r="B257" t="str">
            <v>FECHADURA PARA PORTA EXTERNA MOD. 2010 AROUCA OU SIMILAR</v>
          </cell>
          <cell r="C257" t="str">
            <v>un</v>
          </cell>
          <cell r="D257">
            <v>90.98</v>
          </cell>
        </row>
        <row r="258">
          <cell r="A258" t="str">
            <v>120105U</v>
          </cell>
          <cell r="B258" t="str">
            <v>FECHADURA PARA PORTA INTERNA MOD. 2000 AROUCA OU SIMIILAR</v>
          </cell>
          <cell r="C258" t="str">
            <v>un</v>
          </cell>
          <cell r="D258">
            <v>79.67</v>
          </cell>
        </row>
        <row r="259">
          <cell r="A259" t="str">
            <v>120106U</v>
          </cell>
          <cell r="B259" t="str">
            <v>FECHADURA PARA PORTA DE BANHEIRO MOD. 2025 AROUCA OU SIMILAR</v>
          </cell>
          <cell r="C259" t="str">
            <v>un</v>
          </cell>
          <cell r="D259">
            <v>79.67</v>
          </cell>
        </row>
        <row r="260">
          <cell r="A260" t="str">
            <v>120107U</v>
          </cell>
          <cell r="B260" t="str">
            <v>CADEADO 30 MM</v>
          </cell>
          <cell r="C260" t="str">
            <v>un</v>
          </cell>
          <cell r="D260">
            <v>11.91</v>
          </cell>
        </row>
        <row r="261">
          <cell r="A261" t="str">
            <v>120108U</v>
          </cell>
          <cell r="B261" t="str">
            <v>CADEADO 35 MM</v>
          </cell>
          <cell r="C261" t="str">
            <v>un</v>
          </cell>
          <cell r="D261">
            <v>14.68</v>
          </cell>
        </row>
        <row r="262">
          <cell r="A262" t="str">
            <v>120109U</v>
          </cell>
          <cell r="B262" t="str">
            <v>CADEADO 40 MM</v>
          </cell>
          <cell r="C262" t="str">
            <v>un</v>
          </cell>
          <cell r="D262">
            <v>17.079999999999998</v>
          </cell>
        </row>
        <row r="263">
          <cell r="A263" t="str">
            <v>120110U</v>
          </cell>
          <cell r="B263" t="str">
            <v>CADEADO 45 MM</v>
          </cell>
          <cell r="C263" t="str">
            <v>un</v>
          </cell>
          <cell r="D263">
            <v>20.69</v>
          </cell>
        </row>
        <row r="264">
          <cell r="A264">
            <v>130000</v>
          </cell>
          <cell r="B264" t="str">
            <v>VIDROS E ESPELHOS</v>
          </cell>
        </row>
        <row r="265">
          <cell r="A265">
            <v>130100</v>
          </cell>
          <cell r="B265" t="str">
            <v xml:space="preserve">VIDROS </v>
          </cell>
        </row>
        <row r="266">
          <cell r="A266" t="str">
            <v>130101U</v>
          </cell>
          <cell r="B266" t="str">
            <v>VIDRO LISO SIMPLES ESPESSURA= 3 MM</v>
          </cell>
          <cell r="C266" t="str">
            <v>m2</v>
          </cell>
          <cell r="D266">
            <v>57.63</v>
          </cell>
        </row>
        <row r="267">
          <cell r="A267" t="str">
            <v>130102U</v>
          </cell>
          <cell r="B267" t="str">
            <v>VIDRO LISO SIMPLES ESPESSURA= 4 MM</v>
          </cell>
          <cell r="C267" t="str">
            <v>m2</v>
          </cell>
          <cell r="D267">
            <v>70.14</v>
          </cell>
        </row>
        <row r="268">
          <cell r="A268" t="str">
            <v>130103U</v>
          </cell>
          <cell r="B268" t="str">
            <v>VIDRO MARTELADO</v>
          </cell>
          <cell r="C268" t="str">
            <v>m2</v>
          </cell>
          <cell r="D268">
            <v>60.16</v>
          </cell>
        </row>
        <row r="269">
          <cell r="A269" t="str">
            <v>130104U</v>
          </cell>
          <cell r="B269" t="str">
            <v>VIDRO MINI-BOREAL</v>
          </cell>
          <cell r="C269" t="str">
            <v>m2</v>
          </cell>
          <cell r="D269">
            <v>60.16</v>
          </cell>
        </row>
        <row r="270">
          <cell r="A270" t="str">
            <v>130105U</v>
          </cell>
          <cell r="B270" t="str">
            <v>VIDRO CANELADO</v>
          </cell>
          <cell r="C270" t="str">
            <v>m2</v>
          </cell>
          <cell r="D270">
            <v>60.16</v>
          </cell>
        </row>
        <row r="271">
          <cell r="A271">
            <v>140000</v>
          </cell>
          <cell r="B271" t="str">
            <v>PINTURA</v>
          </cell>
        </row>
        <row r="272">
          <cell r="A272">
            <v>140100</v>
          </cell>
          <cell r="B272" t="str">
            <v>PINTURA DE PAREDES E TETOS</v>
          </cell>
        </row>
        <row r="273">
          <cell r="A273" t="str">
            <v>140101U</v>
          </cell>
          <cell r="B273" t="str">
            <v>CAIACAO INT. OU EXT. C/ TINTA HIDRAX 2 DEMAOS</v>
          </cell>
          <cell r="C273" t="str">
            <v>m2</v>
          </cell>
          <cell r="D273">
            <v>5.29</v>
          </cell>
        </row>
        <row r="274">
          <cell r="A274" t="str">
            <v>140102U</v>
          </cell>
          <cell r="B274" t="str">
            <v>EMASS. PAREDES C/ 2 DEMAOS MASSA CORRIDA</v>
          </cell>
          <cell r="C274" t="str">
            <v>m2</v>
          </cell>
          <cell r="D274">
            <v>11.1</v>
          </cell>
        </row>
        <row r="275">
          <cell r="A275" t="str">
            <v>140103U</v>
          </cell>
          <cell r="B275" t="str">
            <v>EMASS. PAREDES C/ 2 DEMAOS MASSA ACRILICA</v>
          </cell>
          <cell r="C275" t="str">
            <v>m2</v>
          </cell>
          <cell r="D275">
            <v>12.62</v>
          </cell>
        </row>
        <row r="276">
          <cell r="A276" t="str">
            <v>140104U</v>
          </cell>
          <cell r="B276" t="str">
            <v>LATEX PVA FOSCO, DUAS DEMAOS EM PAREDES E TETOS</v>
          </cell>
          <cell r="C276" t="str">
            <v>m2</v>
          </cell>
          <cell r="D276">
            <v>9.1300000000000008</v>
          </cell>
        </row>
        <row r="277">
          <cell r="A277" t="str">
            <v>140106U</v>
          </cell>
          <cell r="B277" t="str">
            <v>LATEX ACRILICO FOSCO, 2 DEMAOS PAR. E TETO</v>
          </cell>
          <cell r="C277" t="str">
            <v>m2</v>
          </cell>
          <cell r="D277">
            <v>9.7799999999999994</v>
          </cell>
        </row>
        <row r="278">
          <cell r="A278" t="str">
            <v>140107U</v>
          </cell>
          <cell r="B278" t="str">
            <v>LATEX ACRILICO SEMI-BRILHO,2DEMAOS PAREDES</v>
          </cell>
          <cell r="C278" t="str">
            <v>m2</v>
          </cell>
          <cell r="D278">
            <v>10.41</v>
          </cell>
        </row>
        <row r="279">
          <cell r="A279" t="str">
            <v>140108U</v>
          </cell>
          <cell r="B279" t="str">
            <v>APLICACAO DE SELADOR ACRILICO,UMA DEMAO</v>
          </cell>
          <cell r="C279" t="str">
            <v>m2</v>
          </cell>
          <cell r="D279">
            <v>4.3899999999999997</v>
          </cell>
        </row>
        <row r="280">
          <cell r="A280" t="str">
            <v>140109U</v>
          </cell>
          <cell r="B280" t="str">
            <v>TINTA A OLEO, DUAS DEMAOS EM PAREDES INTERNAS</v>
          </cell>
          <cell r="C280" t="str">
            <v>m2</v>
          </cell>
          <cell r="D280">
            <v>10.37</v>
          </cell>
        </row>
        <row r="281">
          <cell r="A281" t="str">
            <v>140110U</v>
          </cell>
          <cell r="B281" t="str">
            <v>PINT. DE BARRA C/ 2 DEMAOS DE ESM .SINTETICO</v>
          </cell>
          <cell r="C281" t="str">
            <v>m2</v>
          </cell>
          <cell r="D281">
            <v>10.67</v>
          </cell>
        </row>
        <row r="282">
          <cell r="A282" t="str">
            <v>140111U</v>
          </cell>
          <cell r="B282" t="str">
            <v>TINTA VERDE ESCOLAR EM QUADRO DUAS DEMAOS</v>
          </cell>
          <cell r="C282" t="str">
            <v>m2</v>
          </cell>
          <cell r="D282">
            <v>9.25</v>
          </cell>
        </row>
        <row r="283">
          <cell r="A283" t="str">
            <v>140112U</v>
          </cell>
          <cell r="B283" t="str">
            <v>SILICONE EM PAREDES DE CONCRETO DUAS DEMAOS</v>
          </cell>
          <cell r="C283" t="str">
            <v>m2</v>
          </cell>
          <cell r="D283">
            <v>13.08</v>
          </cell>
        </row>
        <row r="284">
          <cell r="A284" t="str">
            <v>140113U</v>
          </cell>
          <cell r="B284" t="str">
            <v>VERNIZ EM FORRO DE MADEIRA DUAS DEMAOS</v>
          </cell>
          <cell r="C284" t="str">
            <v>m2</v>
          </cell>
          <cell r="D284">
            <v>11.61</v>
          </cell>
        </row>
        <row r="285">
          <cell r="A285" t="str">
            <v>140114U</v>
          </cell>
          <cell r="B285" t="str">
            <v>OLEO EM FORRO DE MADEIRA DUAS DEMAOS</v>
          </cell>
          <cell r="C285" t="str">
            <v>m2</v>
          </cell>
          <cell r="D285">
            <v>10.37</v>
          </cell>
        </row>
        <row r="286">
          <cell r="A286" t="str">
            <v>140115U</v>
          </cell>
          <cell r="B286" t="str">
            <v>ESMALTE SINTETICO EM FORRO DE MADEIRA DUAS DEMAOS</v>
          </cell>
          <cell r="C286" t="str">
            <v>m2</v>
          </cell>
          <cell r="D286">
            <v>10.67</v>
          </cell>
        </row>
        <row r="287">
          <cell r="A287">
            <v>140200</v>
          </cell>
          <cell r="B287" t="str">
            <v>PINTURA DE ESQUADRIAS METÁLICAS</v>
          </cell>
        </row>
        <row r="288">
          <cell r="A288" t="str">
            <v>140201U</v>
          </cell>
          <cell r="B288" t="str">
            <v>APLIC. ZARCAO ESQUADRIAS METALICAS,1DEMAO</v>
          </cell>
          <cell r="C288" t="str">
            <v>m2</v>
          </cell>
          <cell r="D288">
            <v>7.87</v>
          </cell>
        </row>
        <row r="289">
          <cell r="A289" t="str">
            <v>140202U</v>
          </cell>
          <cell r="B289" t="str">
            <v>GRAFITE EM ESQUADRIAS METALICAS, DUAS DEMAOS</v>
          </cell>
          <cell r="C289" t="str">
            <v>m2</v>
          </cell>
          <cell r="D289">
            <v>14.04</v>
          </cell>
        </row>
        <row r="290">
          <cell r="A290" t="str">
            <v>140203U</v>
          </cell>
          <cell r="B290" t="str">
            <v>ESM. SINTETICO ESQUADRIAS MET., 2 DEMAOS</v>
          </cell>
          <cell r="C290" t="str">
            <v>m2</v>
          </cell>
          <cell r="D290">
            <v>13.45</v>
          </cell>
        </row>
        <row r="291">
          <cell r="A291" t="str">
            <v>140204U</v>
          </cell>
          <cell r="B291" t="str">
            <v>TINTA A OLEO EM ESQUADRIAS METALICAS DUAS DEMAOS</v>
          </cell>
          <cell r="C291" t="str">
            <v>m2</v>
          </cell>
          <cell r="D291">
            <v>12.89</v>
          </cell>
        </row>
        <row r="292">
          <cell r="A292">
            <v>140300</v>
          </cell>
          <cell r="B292" t="str">
            <v>PINTURA DE ESQUADRIAS DE MADEIRA</v>
          </cell>
        </row>
        <row r="293">
          <cell r="A293" t="str">
            <v>140301U</v>
          </cell>
          <cell r="B293" t="str">
            <v>APLICACAO DE SELADOR PARA MADEIRA, UMA DEMAO</v>
          </cell>
          <cell r="C293" t="str">
            <v>m2</v>
          </cell>
          <cell r="D293">
            <v>6.98</v>
          </cell>
        </row>
        <row r="294">
          <cell r="A294" t="str">
            <v>140302U</v>
          </cell>
          <cell r="B294" t="str">
            <v>VERNIZ EM ESQUADRIAS DE MADEIRA, TRES DEMAOS</v>
          </cell>
          <cell r="C294" t="str">
            <v>m2</v>
          </cell>
          <cell r="D294">
            <v>12.09</v>
          </cell>
        </row>
        <row r="295">
          <cell r="A295" t="str">
            <v>140303U</v>
          </cell>
          <cell r="B295" t="str">
            <v>ENCERAMENTO DE PORTAS DE MADEIRA</v>
          </cell>
          <cell r="C295" t="str">
            <v>m2</v>
          </cell>
          <cell r="D295">
            <v>8.75</v>
          </cell>
        </row>
        <row r="296">
          <cell r="A296" t="str">
            <v>140304U</v>
          </cell>
          <cell r="B296" t="str">
            <v>ESM. SINT. ESQUADRIAS MADEIRA, 2 DEMAOS</v>
          </cell>
          <cell r="C296" t="str">
            <v>m2</v>
          </cell>
          <cell r="D296">
            <v>10.67</v>
          </cell>
        </row>
        <row r="297">
          <cell r="A297" t="str">
            <v>140305U</v>
          </cell>
          <cell r="B297" t="str">
            <v>TINTA A OLEO EM ESQUADRIAS DE MADEIRA, DUAS DEMAOS</v>
          </cell>
          <cell r="C297" t="str">
            <v>m2</v>
          </cell>
          <cell r="D297">
            <v>10.119999999999999</v>
          </cell>
        </row>
        <row r="298">
          <cell r="A298">
            <v>140400</v>
          </cell>
          <cell r="B298" t="str">
            <v>PINTURA DE RODAPÉ E TESTEIRAS</v>
          </cell>
        </row>
        <row r="299">
          <cell r="A299" t="str">
            <v>140401U</v>
          </cell>
          <cell r="B299" t="str">
            <v>ESM. SINT. EM RODAPE DE MADEIRA, 2 DEMAOS</v>
          </cell>
          <cell r="C299" t="str">
            <v>m</v>
          </cell>
          <cell r="D299">
            <v>3.92</v>
          </cell>
        </row>
        <row r="300">
          <cell r="A300" t="str">
            <v>140402U</v>
          </cell>
          <cell r="B300" t="str">
            <v>VERNIZ EM RODAPE DE MADEIRA, DUAS DEMAOS</v>
          </cell>
          <cell r="C300" t="str">
            <v>m</v>
          </cell>
          <cell r="D300">
            <v>4.08</v>
          </cell>
        </row>
        <row r="301">
          <cell r="A301" t="str">
            <v>140403U</v>
          </cell>
          <cell r="B301" t="str">
            <v>TINTA A OLEO EM RODAPE DE MADEIRA, DUAS DEMAOS</v>
          </cell>
          <cell r="C301" t="str">
            <v>m</v>
          </cell>
          <cell r="D301">
            <v>3.84</v>
          </cell>
        </row>
        <row r="302">
          <cell r="A302" t="str">
            <v>140404U</v>
          </cell>
          <cell r="B302" t="str">
            <v>TINTA A OLEO EM TABUA DE BEIRAL, DUAS DEMAOS</v>
          </cell>
          <cell r="C302" t="str">
            <v>m</v>
          </cell>
          <cell r="D302">
            <v>4.66</v>
          </cell>
        </row>
        <row r="303">
          <cell r="A303" t="str">
            <v>140405U</v>
          </cell>
          <cell r="B303" t="str">
            <v>VERNIZ EM TABUA DE BEIRAL, DUAS DEMAOS</v>
          </cell>
          <cell r="C303" t="str">
            <v>m</v>
          </cell>
          <cell r="D303">
            <v>5.19</v>
          </cell>
        </row>
        <row r="304">
          <cell r="A304" t="str">
            <v>140406U</v>
          </cell>
          <cell r="B304" t="str">
            <v>ESMALTE SINTETICO EM TABUA DE BEIRAL, DUAS DEMAOS</v>
          </cell>
          <cell r="C304" t="str">
            <v>m</v>
          </cell>
          <cell r="D304">
            <v>4.78</v>
          </cell>
        </row>
        <row r="305">
          <cell r="A305">
            <v>140500</v>
          </cell>
          <cell r="B305" t="str">
            <v>PINTURA DE CALHAS E RUFOS</v>
          </cell>
        </row>
        <row r="306">
          <cell r="A306" t="str">
            <v>140501U</v>
          </cell>
          <cell r="B306" t="str">
            <v>APLIC. DE GALVITE SUPERFICIE GALV., 1DEMAO</v>
          </cell>
          <cell r="C306" t="str">
            <v>m2</v>
          </cell>
          <cell r="D306">
            <v>5.49</v>
          </cell>
        </row>
        <row r="307">
          <cell r="A307">
            <v>140600</v>
          </cell>
          <cell r="B307" t="str">
            <v>PINTURA DE DEMARCAÇÃO DE QUADRA ESPORTIVA</v>
          </cell>
        </row>
        <row r="308">
          <cell r="A308" t="str">
            <v>140601U</v>
          </cell>
          <cell r="B308" t="str">
            <v>DEM. CANCHA TINTA BORRACHA CLORADA L= 5CM</v>
          </cell>
          <cell r="C308" t="str">
            <v>m</v>
          </cell>
          <cell r="D308">
            <v>6.5</v>
          </cell>
        </row>
        <row r="309">
          <cell r="A309" t="str">
            <v>140602U</v>
          </cell>
          <cell r="B309" t="str">
            <v>DEM.CANCHA TINTA ACRILICA POL LARGURA= 5CM</v>
          </cell>
          <cell r="C309" t="str">
            <v>m</v>
          </cell>
          <cell r="D309">
            <v>5.68</v>
          </cell>
        </row>
        <row r="310">
          <cell r="A310" t="str">
            <v>140603U</v>
          </cell>
          <cell r="B310" t="str">
            <v>PINT. QUADRA ESP TINTA ACRILICA POL 2 DEMAOS</v>
          </cell>
          <cell r="C310" t="str">
            <v>m2</v>
          </cell>
          <cell r="D310">
            <v>9.08</v>
          </cell>
        </row>
        <row r="311">
          <cell r="A311">
            <v>140700</v>
          </cell>
          <cell r="B311" t="str">
            <v>PINTURA DE ESTRUTURA DE MADEIRA</v>
          </cell>
        </row>
        <row r="312">
          <cell r="A312" t="str">
            <v>140701U</v>
          </cell>
          <cell r="B312" t="str">
            <v>APLICACAO DE JIMO CUPIM EM ESTRUTURA DE MADEIRA</v>
          </cell>
          <cell r="C312" t="str">
            <v>m2</v>
          </cell>
          <cell r="D312">
            <v>9.26</v>
          </cell>
        </row>
        <row r="313">
          <cell r="A313">
            <v>160000</v>
          </cell>
          <cell r="B313" t="str">
            <v>INSTALÇÕE HIDRO-SANITÁRIAS</v>
          </cell>
        </row>
        <row r="314">
          <cell r="A314">
            <v>160100</v>
          </cell>
          <cell r="B314" t="str">
            <v>LOUÇAS E APARELHOS SANITÁRIOS</v>
          </cell>
        </row>
        <row r="315">
          <cell r="A315" t="str">
            <v>160101U</v>
          </cell>
          <cell r="B315" t="str">
            <v xml:space="preserve">BACIA SANITARIA DE LOUCA BRANCA </v>
          </cell>
          <cell r="C315" t="str">
            <v>un</v>
          </cell>
          <cell r="D315">
            <v>174.53</v>
          </cell>
        </row>
        <row r="316">
          <cell r="A316" t="str">
            <v>160102U</v>
          </cell>
          <cell r="B316" t="str">
            <v xml:space="preserve">BACIA SANITARIA INFANTIL DE LOUCA BRANCA </v>
          </cell>
          <cell r="C316" t="str">
            <v>un</v>
          </cell>
          <cell r="D316">
            <v>243.95</v>
          </cell>
        </row>
        <row r="317">
          <cell r="A317" t="str">
            <v>160103U</v>
          </cell>
          <cell r="B317" t="str">
            <v>LAVAT .S/ COLUNA LOUCA BCA PEQ.</v>
          </cell>
          <cell r="C317" t="str">
            <v>un</v>
          </cell>
          <cell r="D317">
            <v>136.09</v>
          </cell>
        </row>
        <row r="318">
          <cell r="A318" t="str">
            <v>160104U</v>
          </cell>
          <cell r="B318" t="str">
            <v>LAVAT.C/ COL LOUCA MEDIO PEQ.</v>
          </cell>
          <cell r="C318" t="str">
            <v>un</v>
          </cell>
          <cell r="D318">
            <v>191.38</v>
          </cell>
        </row>
        <row r="319">
          <cell r="A319" t="str">
            <v>160105U</v>
          </cell>
          <cell r="B319" t="str">
            <v>ASSENTO PLASTICO MARCA CELITE OU SIMILAR</v>
          </cell>
          <cell r="C319" t="str">
            <v>un</v>
          </cell>
          <cell r="D319">
            <v>44.51</v>
          </cell>
        </row>
        <row r="320">
          <cell r="A320" t="str">
            <v>160106U</v>
          </cell>
          <cell r="B320" t="str">
            <v>ASSENTO PLASTICO GOYANA, CIPLA OU SIMILAR</v>
          </cell>
          <cell r="C320" t="str">
            <v>un</v>
          </cell>
          <cell r="D320">
            <v>15.04</v>
          </cell>
        </row>
        <row r="321">
          <cell r="A321" t="str">
            <v>160107U</v>
          </cell>
          <cell r="B321" t="str">
            <v xml:space="preserve">SABONETEIRA LOUCA BCA 7,5 X 15 CM </v>
          </cell>
          <cell r="C321" t="str">
            <v>un</v>
          </cell>
          <cell r="D321">
            <v>22.85</v>
          </cell>
        </row>
        <row r="322">
          <cell r="A322" t="str">
            <v>160108U</v>
          </cell>
          <cell r="B322" t="str">
            <v xml:space="preserve">SABONETEIRA LOUCA BCA 15 X 15CM </v>
          </cell>
          <cell r="C322" t="str">
            <v>un</v>
          </cell>
          <cell r="D322">
            <v>25.61</v>
          </cell>
        </row>
        <row r="323">
          <cell r="A323" t="str">
            <v>160109U</v>
          </cell>
          <cell r="B323" t="str">
            <v xml:space="preserve">PAPELEIRA DE LOUCA BRANCA 15 X 15 CM </v>
          </cell>
          <cell r="C323" t="str">
            <v>un</v>
          </cell>
          <cell r="D323">
            <v>27.9</v>
          </cell>
        </row>
        <row r="324">
          <cell r="A324" t="str">
            <v>160110U</v>
          </cell>
          <cell r="B324" t="str">
            <v>CABIDE SIMPLES DE LOUCA BRANCA</v>
          </cell>
          <cell r="C324" t="str">
            <v>un</v>
          </cell>
          <cell r="D324">
            <v>19.920000000000002</v>
          </cell>
        </row>
        <row r="325">
          <cell r="A325" t="str">
            <v>160111U</v>
          </cell>
          <cell r="B325" t="str">
            <v xml:space="preserve">CABIDE DUPLO DE LOUCA BRANCA </v>
          </cell>
          <cell r="C325" t="str">
            <v>un</v>
          </cell>
          <cell r="D325">
            <v>20.399999999999999</v>
          </cell>
        </row>
        <row r="326">
          <cell r="A326" t="str">
            <v>160112U</v>
          </cell>
          <cell r="B326" t="str">
            <v>SABONETEIRA PARA SABAO LIQUIDO</v>
          </cell>
          <cell r="C326" t="str">
            <v>un</v>
          </cell>
          <cell r="D326">
            <v>38.19</v>
          </cell>
        </row>
        <row r="327">
          <cell r="A327" t="str">
            <v>160113U</v>
          </cell>
          <cell r="B327" t="str">
            <v>TOALHEIRO PARA TOALHA DE PAPEL</v>
          </cell>
          <cell r="C327" t="str">
            <v>un</v>
          </cell>
          <cell r="D327">
            <v>38.58</v>
          </cell>
        </row>
        <row r="328">
          <cell r="A328" t="str">
            <v>160114U</v>
          </cell>
          <cell r="B328" t="str">
            <v>TANQUE DE LOUCA COM COLUNA CAPACIDADE:22 LITROS</v>
          </cell>
          <cell r="C328" t="str">
            <v>un</v>
          </cell>
          <cell r="D328">
            <v>368.05</v>
          </cell>
        </row>
        <row r="329">
          <cell r="A329" t="str">
            <v>160115U</v>
          </cell>
          <cell r="B329" t="str">
            <v>LAVATORIO DE LOUCA BRANCA DE EMBUTIR OVAL</v>
          </cell>
          <cell r="C329" t="str">
            <v>un</v>
          </cell>
          <cell r="D329">
            <v>102.17</v>
          </cell>
        </row>
        <row r="330">
          <cell r="A330" t="str">
            <v>160116U</v>
          </cell>
          <cell r="B330" t="str">
            <v>LAVATORIO DE LOUCA BRANCA DE SOBREPOR OVAL</v>
          </cell>
          <cell r="C330" t="str">
            <v>un</v>
          </cell>
          <cell r="D330">
            <v>114.68</v>
          </cell>
        </row>
        <row r="331">
          <cell r="A331" t="str">
            <v>160117U</v>
          </cell>
          <cell r="B331" t="str">
            <v>CAIXA DE DESCARGA PLASTICA EXTERNA 12 LITROS</v>
          </cell>
          <cell r="C331" t="str">
            <v>un</v>
          </cell>
          <cell r="D331">
            <v>58.96</v>
          </cell>
        </row>
        <row r="332">
          <cell r="A332" t="str">
            <v>160118U</v>
          </cell>
          <cell r="B332" t="str">
            <v>TAMPO EM ACO INOX 1,10 X O,60 M COM CUBA SIMPLES</v>
          </cell>
          <cell r="C332" t="str">
            <v>un</v>
          </cell>
          <cell r="D332">
            <v>194.93</v>
          </cell>
        </row>
        <row r="333">
          <cell r="A333" t="str">
            <v>160119U</v>
          </cell>
          <cell r="B333" t="str">
            <v>TAMPO EM ACO INOX 1,20 X O,60 M COM CUBA SIMPLES</v>
          </cell>
          <cell r="C333" t="str">
            <v>un</v>
          </cell>
          <cell r="D333">
            <v>203.59</v>
          </cell>
        </row>
        <row r="334">
          <cell r="A334" t="str">
            <v>160120U</v>
          </cell>
          <cell r="B334" t="str">
            <v>TAMPO EM ACO INOX 1,40 X O,60 M COM CUBA SIMPLES</v>
          </cell>
          <cell r="C334" t="str">
            <v>un</v>
          </cell>
          <cell r="D334">
            <v>274.82</v>
          </cell>
        </row>
        <row r="335">
          <cell r="A335" t="str">
            <v>160121U</v>
          </cell>
          <cell r="B335" t="str">
            <v>TAMPO EM ACO INOX 1,60 X O,60 M COM CUBA SIMPLES</v>
          </cell>
          <cell r="C335" t="str">
            <v>un</v>
          </cell>
          <cell r="D335">
            <v>291.55</v>
          </cell>
        </row>
        <row r="336">
          <cell r="A336" t="str">
            <v>160122U</v>
          </cell>
          <cell r="B336" t="str">
            <v>TAMPO EM ACO INOX 1,80 X O,60 M COM CUBA SIMPLES</v>
          </cell>
          <cell r="C336" t="str">
            <v>un</v>
          </cell>
          <cell r="D336">
            <v>310.2</v>
          </cell>
        </row>
        <row r="337">
          <cell r="A337" t="str">
            <v>160123U</v>
          </cell>
          <cell r="B337" t="str">
            <v>TAMPO EM ACO INOX 1,80 X O,60 M COM CUBA DUPLA</v>
          </cell>
          <cell r="C337" t="str">
            <v>un</v>
          </cell>
          <cell r="D337">
            <v>679.55</v>
          </cell>
        </row>
        <row r="338">
          <cell r="A338">
            <v>160200</v>
          </cell>
          <cell r="B338" t="str">
            <v>METAIS</v>
          </cell>
        </row>
        <row r="339">
          <cell r="A339" t="str">
            <v>160201U</v>
          </cell>
          <cell r="B339" t="str">
            <v>VALVULA DE DESCARGA DECA HYDRA 11/2" REF. 2515 OU SIMILAR</v>
          </cell>
          <cell r="C339" t="str">
            <v>un</v>
          </cell>
          <cell r="D339">
            <v>199.91</v>
          </cell>
        </row>
        <row r="340">
          <cell r="A340" t="str">
            <v>160202U</v>
          </cell>
          <cell r="B340" t="str">
            <v>TORNEIRA DE PRESSAO PARA TANQUE 3/4"</v>
          </cell>
          <cell r="C340" t="str">
            <v>un</v>
          </cell>
          <cell r="D340">
            <v>43.96</v>
          </cell>
        </row>
        <row r="341">
          <cell r="A341" t="str">
            <v>160203U</v>
          </cell>
          <cell r="B341" t="str">
            <v xml:space="preserve">TORNEIRA LONGA PARA PIA 3/4" </v>
          </cell>
          <cell r="C341" t="str">
            <v>un</v>
          </cell>
          <cell r="D341">
            <v>115.91</v>
          </cell>
        </row>
        <row r="342">
          <cell r="A342" t="str">
            <v>160204U</v>
          </cell>
          <cell r="B342" t="str">
            <v xml:space="preserve">TORNEIRA DE PRESSAO PARA LAVATORIO 1/2" </v>
          </cell>
          <cell r="C342" t="str">
            <v>un</v>
          </cell>
          <cell r="D342">
            <v>97.26</v>
          </cell>
        </row>
        <row r="343">
          <cell r="A343" t="str">
            <v>160205U</v>
          </cell>
          <cell r="B343" t="str">
            <v>TORNEIRA DE PRESSAO PARA JARDIM 3/4"</v>
          </cell>
          <cell r="C343" t="str">
            <v>un</v>
          </cell>
          <cell r="D343">
            <v>39.39</v>
          </cell>
        </row>
        <row r="344">
          <cell r="A344" t="str">
            <v>160206U</v>
          </cell>
          <cell r="B344" t="str">
            <v xml:space="preserve">REGISTRO DE PRESSAO COM CANOPLA 1/2" </v>
          </cell>
          <cell r="C344" t="str">
            <v>un</v>
          </cell>
          <cell r="D344">
            <v>93.61</v>
          </cell>
        </row>
        <row r="345">
          <cell r="A345" t="str">
            <v>160207U</v>
          </cell>
          <cell r="B345" t="str">
            <v xml:space="preserve">REGISTRO DE PRESSAO COM CANOPLA 3/4" </v>
          </cell>
          <cell r="C345" t="str">
            <v>un</v>
          </cell>
          <cell r="D345">
            <v>94.61</v>
          </cell>
        </row>
        <row r="346">
          <cell r="A346" t="str">
            <v>160208U</v>
          </cell>
          <cell r="B346" t="str">
            <v xml:space="preserve">REGISTRO DE GAVETA COM CANOPLA 3/4" </v>
          </cell>
          <cell r="C346" t="str">
            <v>un</v>
          </cell>
          <cell r="D346">
            <v>94.61</v>
          </cell>
        </row>
        <row r="347">
          <cell r="A347" t="str">
            <v>160209U</v>
          </cell>
          <cell r="B347" t="str">
            <v xml:space="preserve">REGISTRO DE GAVETA COM CANOPLA 1" </v>
          </cell>
          <cell r="C347" t="str">
            <v>un</v>
          </cell>
          <cell r="D347">
            <v>104.01</v>
          </cell>
        </row>
        <row r="348">
          <cell r="A348" t="str">
            <v>160210U</v>
          </cell>
          <cell r="B348" t="str">
            <v xml:space="preserve">REGISTRO DE GAVETA COM CANOPLA 11/4" </v>
          </cell>
          <cell r="C348" t="str">
            <v>un</v>
          </cell>
          <cell r="D348">
            <v>131.08000000000001</v>
          </cell>
        </row>
        <row r="349">
          <cell r="A349" t="str">
            <v>160211U</v>
          </cell>
          <cell r="B349" t="str">
            <v xml:space="preserve">REGISTRO DE GAVETA COM CANOPLA 11/2" </v>
          </cell>
          <cell r="C349" t="str">
            <v>un</v>
          </cell>
          <cell r="D349">
            <v>143.88999999999999</v>
          </cell>
        </row>
        <row r="350">
          <cell r="A350" t="str">
            <v>160212U</v>
          </cell>
          <cell r="B350" t="str">
            <v xml:space="preserve">REGISTRO DE GAVETA TIPO BRUTO 3/4" </v>
          </cell>
          <cell r="C350" t="str">
            <v>un</v>
          </cell>
          <cell r="D350">
            <v>33.9</v>
          </cell>
        </row>
        <row r="351">
          <cell r="A351" t="str">
            <v>160213U</v>
          </cell>
          <cell r="B351" t="str">
            <v xml:space="preserve">REGISTRO DE GAVETA TIPO BRUTO 1" </v>
          </cell>
          <cell r="C351" t="str">
            <v>un</v>
          </cell>
          <cell r="D351">
            <v>41.98</v>
          </cell>
        </row>
        <row r="352">
          <cell r="A352" t="str">
            <v>160214U</v>
          </cell>
          <cell r="B352" t="str">
            <v xml:space="preserve">REGISTRO DE GAVETA TIPO BRUTO 11/4" </v>
          </cell>
          <cell r="C352" t="str">
            <v>un</v>
          </cell>
          <cell r="D352">
            <v>50.51</v>
          </cell>
        </row>
        <row r="353">
          <cell r="A353" t="str">
            <v>160215U</v>
          </cell>
          <cell r="B353" t="str">
            <v xml:space="preserve">REGISTRO DE GAVETA TIPO BRUTO 11/2" </v>
          </cell>
          <cell r="C353" t="str">
            <v>un</v>
          </cell>
          <cell r="D353">
            <v>67.02</v>
          </cell>
        </row>
        <row r="354">
          <cell r="A354" t="str">
            <v>160216U</v>
          </cell>
          <cell r="B354" t="str">
            <v xml:space="preserve">REGISTRO DE GAVETA TIPO BRUTO 2" </v>
          </cell>
          <cell r="C354" t="str">
            <v>un</v>
          </cell>
          <cell r="D354">
            <v>106.81</v>
          </cell>
        </row>
        <row r="355">
          <cell r="A355" t="str">
            <v>160217U</v>
          </cell>
          <cell r="B355" t="str">
            <v xml:space="preserve">REGISTRO DE GAVETA TIPO BRUTO 21/2" </v>
          </cell>
          <cell r="C355" t="str">
            <v>un</v>
          </cell>
          <cell r="D355">
            <v>271.19</v>
          </cell>
        </row>
        <row r="356">
          <cell r="A356" t="str">
            <v>160218U</v>
          </cell>
          <cell r="B356" t="str">
            <v xml:space="preserve">REGISTRO DE GAVETA TIPO BRUTO 3" </v>
          </cell>
          <cell r="C356" t="str">
            <v>un</v>
          </cell>
          <cell r="D356">
            <v>399.96</v>
          </cell>
        </row>
        <row r="357">
          <cell r="A357" t="str">
            <v>160219U</v>
          </cell>
          <cell r="B357" t="str">
            <v>TORNEIRA DE BOIA DE PVC 3/4"</v>
          </cell>
          <cell r="C357" t="str">
            <v>un</v>
          </cell>
          <cell r="D357">
            <v>12.3</v>
          </cell>
        </row>
        <row r="358">
          <cell r="A358" t="str">
            <v>160220U</v>
          </cell>
          <cell r="B358" t="str">
            <v xml:space="preserve">TORNEIRA DE BOIA METALICA 3/4" </v>
          </cell>
          <cell r="C358" t="str">
            <v>un</v>
          </cell>
          <cell r="D358">
            <v>31.91</v>
          </cell>
        </row>
        <row r="359">
          <cell r="A359" t="str">
            <v>160221U</v>
          </cell>
          <cell r="B359" t="str">
            <v xml:space="preserve">TORNEIRA DE BOIA METALICA 1" </v>
          </cell>
          <cell r="C359" t="str">
            <v>un</v>
          </cell>
          <cell r="D359">
            <v>44.5</v>
          </cell>
        </row>
        <row r="360">
          <cell r="A360" t="str">
            <v>160222U</v>
          </cell>
          <cell r="B360" t="str">
            <v xml:space="preserve">TORNEIRA DE BOIA METALICA 11/4" </v>
          </cell>
          <cell r="C360" t="str">
            <v>un</v>
          </cell>
          <cell r="D360">
            <v>73.59</v>
          </cell>
        </row>
        <row r="361">
          <cell r="A361" t="str">
            <v>160223U</v>
          </cell>
          <cell r="B361" t="str">
            <v>CHUVEIRO ELET C/ DESVIADOR LORENZETI OU SIMILAR</v>
          </cell>
          <cell r="C361" t="str">
            <v>un</v>
          </cell>
          <cell r="D361">
            <v>152.1</v>
          </cell>
        </row>
        <row r="362">
          <cell r="A362" t="str">
            <v>160224U</v>
          </cell>
          <cell r="B362" t="str">
            <v>CHUVEIRO ELETRICO DUCHA LORENZETI OU SIMILAR</v>
          </cell>
          <cell r="C362" t="str">
            <v>un</v>
          </cell>
          <cell r="D362">
            <v>54.04</v>
          </cell>
        </row>
        <row r="363">
          <cell r="A363" t="str">
            <v>160225U</v>
          </cell>
          <cell r="B363" t="str">
            <v>BRACO DE ALUMINIO PARA CHUVEIRO 1/2" X 30 CM</v>
          </cell>
          <cell r="C363" t="str">
            <v>un</v>
          </cell>
          <cell r="D363">
            <v>19.27</v>
          </cell>
        </row>
        <row r="364">
          <cell r="A364" t="str">
            <v>160226U</v>
          </cell>
          <cell r="B364" t="str">
            <v>BRACO DE ALUMINIO PARA CHUVEIRO 1/2" X 40 CM</v>
          </cell>
          <cell r="C364" t="str">
            <v>un</v>
          </cell>
          <cell r="D364">
            <v>21.44</v>
          </cell>
        </row>
        <row r="365">
          <cell r="A365" t="str">
            <v>160227U</v>
          </cell>
          <cell r="B365" t="str">
            <v>VALVULA DE FUNDO METALICA PARA PIA 1" X 2"</v>
          </cell>
          <cell r="C365" t="str">
            <v>un</v>
          </cell>
          <cell r="D365">
            <v>25.02</v>
          </cell>
        </row>
        <row r="366">
          <cell r="A366" t="str">
            <v>160228U</v>
          </cell>
          <cell r="B366" t="str">
            <v>VALVULA DE FUNDO PARA PIA AMERICANA 11/2" X 33/4"</v>
          </cell>
          <cell r="C366" t="str">
            <v>un</v>
          </cell>
          <cell r="D366">
            <v>34.07</v>
          </cell>
        </row>
        <row r="367">
          <cell r="A367" t="str">
            <v>160229U</v>
          </cell>
          <cell r="B367" t="str">
            <v>VALVULA DE FUNDO MET. PARA LAVATORIO 1" X 23/8"</v>
          </cell>
          <cell r="C367" t="str">
            <v>un</v>
          </cell>
          <cell r="D367">
            <v>31.09</v>
          </cell>
        </row>
        <row r="368">
          <cell r="A368" t="str">
            <v>160230U</v>
          </cell>
          <cell r="B368" t="str">
            <v>VALVULA DE FUNDO METALICA PARA TANQUE 11/4"</v>
          </cell>
          <cell r="C368" t="str">
            <v>un</v>
          </cell>
          <cell r="D368">
            <v>34.72</v>
          </cell>
        </row>
        <row r="369">
          <cell r="A369" t="str">
            <v>160231U</v>
          </cell>
          <cell r="B369" t="str">
            <v>VALVULA DE FUNDO DE PVC PARA PIA</v>
          </cell>
          <cell r="C369" t="str">
            <v>un</v>
          </cell>
          <cell r="D369">
            <v>8.4499999999999993</v>
          </cell>
        </row>
        <row r="370">
          <cell r="A370" t="str">
            <v>160232U</v>
          </cell>
          <cell r="B370" t="str">
            <v>VALVULA DE FUNDO DE PVC PARA LAVATORIO</v>
          </cell>
          <cell r="C370" t="str">
            <v>un</v>
          </cell>
          <cell r="D370">
            <v>9.65</v>
          </cell>
        </row>
        <row r="371">
          <cell r="A371" t="str">
            <v>160233U</v>
          </cell>
          <cell r="B371" t="str">
            <v>VALVULA DE FUNDO DE PVC PARA TANQUE</v>
          </cell>
          <cell r="C371" t="str">
            <v>un</v>
          </cell>
          <cell r="D371">
            <v>10.73</v>
          </cell>
        </row>
        <row r="372">
          <cell r="A372" t="str">
            <v>160234U</v>
          </cell>
          <cell r="B372" t="str">
            <v>SIFAO METALICO CROMADO PARA PIA 11/2" X 11/2"</v>
          </cell>
          <cell r="C372" t="str">
            <v>un</v>
          </cell>
          <cell r="D372">
            <v>59.63</v>
          </cell>
        </row>
        <row r="373">
          <cell r="A373" t="str">
            <v>160235U</v>
          </cell>
          <cell r="B373" t="str">
            <v>SIFAO METALICO CROMADO P/ PIA AMERICANA 2" X 11/2"</v>
          </cell>
          <cell r="C373" t="str">
            <v>un</v>
          </cell>
          <cell r="D373">
            <v>59.63</v>
          </cell>
        </row>
        <row r="374">
          <cell r="A374" t="str">
            <v>160236U</v>
          </cell>
          <cell r="B374" t="str">
            <v>SIFAO METALICO CROMADO P/ LAVATORIO 1" X 11/2"</v>
          </cell>
          <cell r="C374" t="str">
            <v>un</v>
          </cell>
          <cell r="D374">
            <v>87.3</v>
          </cell>
        </row>
        <row r="375">
          <cell r="A375" t="str">
            <v>160237U</v>
          </cell>
          <cell r="B375" t="str">
            <v>SIFAO PLASTICO PARA PIA</v>
          </cell>
          <cell r="C375" t="str">
            <v>un</v>
          </cell>
          <cell r="D375">
            <v>8.6300000000000008</v>
          </cell>
        </row>
        <row r="376">
          <cell r="A376" t="str">
            <v>160238U</v>
          </cell>
          <cell r="B376" t="str">
            <v>SIFAO PLASTICO PARA LAVATORIO</v>
          </cell>
          <cell r="C376" t="str">
            <v>un</v>
          </cell>
          <cell r="D376">
            <v>8.4499999999999993</v>
          </cell>
        </row>
        <row r="377">
          <cell r="A377" t="str">
            <v>160239U</v>
          </cell>
          <cell r="B377" t="str">
            <v>ENGATE FLEXIVEL DE PVC 1/2"</v>
          </cell>
          <cell r="C377" t="str">
            <v>un</v>
          </cell>
          <cell r="D377">
            <v>8.1300000000000008</v>
          </cell>
        </row>
        <row r="378">
          <cell r="A378" t="str">
            <v>160240U</v>
          </cell>
          <cell r="B378" t="str">
            <v>ENGATE FLEXIVEL METALICO 1/2"</v>
          </cell>
          <cell r="C378" t="str">
            <v>un</v>
          </cell>
          <cell r="D378">
            <v>30.22</v>
          </cell>
        </row>
        <row r="379">
          <cell r="A379" t="str">
            <v>160241U</v>
          </cell>
          <cell r="B379" t="str">
            <v>TUBO DE LIGACAO COM CANOPLA PARA BACIA PVC 11/2"</v>
          </cell>
          <cell r="C379" t="str">
            <v>un</v>
          </cell>
          <cell r="D379">
            <v>14.46</v>
          </cell>
        </row>
        <row r="380">
          <cell r="A380" t="str">
            <v>160242U</v>
          </cell>
          <cell r="B380" t="str">
            <v>TUBO DE LIGACAO MET. C/ CANOPLA PARA BACIA 11/2"</v>
          </cell>
          <cell r="C380" t="str">
            <v>un</v>
          </cell>
          <cell r="D380">
            <v>34.29</v>
          </cell>
        </row>
        <row r="381">
          <cell r="A381" t="str">
            <v>160243U</v>
          </cell>
          <cell r="B381" t="str">
            <v xml:space="preserve">REGISTRO DE GAVETA TIPO BRUTO 4" </v>
          </cell>
          <cell r="C381" t="str">
            <v>un</v>
          </cell>
          <cell r="D381">
            <v>460.46</v>
          </cell>
        </row>
        <row r="382">
          <cell r="A382">
            <v>160300</v>
          </cell>
          <cell r="B382" t="str">
            <v>TUBOS E CONEXÕES DE PVC PARA ÁGUA</v>
          </cell>
        </row>
        <row r="383">
          <cell r="A383" t="str">
            <v>160301U</v>
          </cell>
          <cell r="B383" t="str">
            <v>TUBO DE PVC RIGIDO SOLDAVEL  20 MM</v>
          </cell>
          <cell r="C383" t="str">
            <v>m</v>
          </cell>
          <cell r="D383">
            <v>3.2</v>
          </cell>
        </row>
        <row r="384">
          <cell r="A384" t="str">
            <v>160302U</v>
          </cell>
          <cell r="B384" t="str">
            <v>TUBO DE PVC RIGIDO SOLDAVEL  25 MM</v>
          </cell>
          <cell r="C384" t="str">
            <v>m</v>
          </cell>
          <cell r="D384">
            <v>4.04</v>
          </cell>
        </row>
        <row r="385">
          <cell r="A385" t="str">
            <v>160303U</v>
          </cell>
          <cell r="B385" t="str">
            <v>TUBO DE PVC RIGIDO SOLDAVEL  32 MM</v>
          </cell>
          <cell r="C385" t="str">
            <v>m</v>
          </cell>
          <cell r="D385">
            <v>6.93</v>
          </cell>
        </row>
        <row r="386">
          <cell r="A386" t="str">
            <v>160304U</v>
          </cell>
          <cell r="B386" t="str">
            <v>TUBO DE PVC RIGIDO SOLDAVEL  40 MM</v>
          </cell>
          <cell r="C386" t="str">
            <v>m</v>
          </cell>
          <cell r="D386">
            <v>10.42</v>
          </cell>
        </row>
        <row r="387">
          <cell r="A387" t="str">
            <v>160305U</v>
          </cell>
          <cell r="B387" t="str">
            <v>TUBO DE PVC RIGIDO SOLDAVEL  50 MM</v>
          </cell>
          <cell r="C387" t="str">
            <v>m</v>
          </cell>
          <cell r="D387">
            <v>12.51</v>
          </cell>
        </row>
        <row r="388">
          <cell r="A388" t="str">
            <v>160306U</v>
          </cell>
          <cell r="B388" t="str">
            <v>TUBO DE PVC RIGIDO SOLDAVEL  60 MM</v>
          </cell>
          <cell r="C388" t="str">
            <v>m</v>
          </cell>
          <cell r="D388">
            <v>18.89</v>
          </cell>
        </row>
        <row r="389">
          <cell r="A389" t="str">
            <v>160307U</v>
          </cell>
          <cell r="B389" t="str">
            <v>TUBO DE PVC RIGIDO SOLDAVEL  75 MM</v>
          </cell>
          <cell r="C389" t="str">
            <v>m</v>
          </cell>
          <cell r="D389">
            <v>28.38</v>
          </cell>
        </row>
        <row r="390">
          <cell r="A390" t="str">
            <v>160308U</v>
          </cell>
          <cell r="B390" t="str">
            <v>TUBO DE PVC RIGIDO SOLDAVEL  85 MM</v>
          </cell>
          <cell r="C390" t="str">
            <v>m</v>
          </cell>
          <cell r="D390">
            <v>37.56</v>
          </cell>
        </row>
        <row r="391">
          <cell r="A391" t="str">
            <v>160309U</v>
          </cell>
          <cell r="B391" t="str">
            <v>TUBO DE PVC RIGIDO SOLDAVEL  110 MM</v>
          </cell>
          <cell r="C391" t="str">
            <v>m</v>
          </cell>
          <cell r="D391">
            <v>61.88</v>
          </cell>
        </row>
        <row r="392">
          <cell r="A392" t="str">
            <v>160310U</v>
          </cell>
          <cell r="B392" t="str">
            <v xml:space="preserve">ADAPTADOR LR P/ REGISTRO 1/2" X 20 MM </v>
          </cell>
          <cell r="C392" t="str">
            <v>un</v>
          </cell>
          <cell r="D392">
            <v>1.24</v>
          </cell>
        </row>
        <row r="393">
          <cell r="A393" t="str">
            <v>160311U</v>
          </cell>
          <cell r="B393" t="str">
            <v xml:space="preserve">ADAPTADOR LR P/ REGISTRO 3/4" X 25 MM </v>
          </cell>
          <cell r="C393" t="str">
            <v>un</v>
          </cell>
          <cell r="D393">
            <v>1.74</v>
          </cell>
        </row>
        <row r="394">
          <cell r="A394" t="str">
            <v>160312U</v>
          </cell>
          <cell r="B394" t="str">
            <v xml:space="preserve">ADAPTADOR LR P/ REGISTRO 1" X 32 MM </v>
          </cell>
          <cell r="C394" t="str">
            <v>un</v>
          </cell>
          <cell r="D394">
            <v>2.74</v>
          </cell>
        </row>
        <row r="395">
          <cell r="A395" t="str">
            <v>160313U</v>
          </cell>
          <cell r="B395" t="str">
            <v xml:space="preserve">ADAPTADOR LR P/ REGISTRO 11/4" X 40 MM </v>
          </cell>
          <cell r="C395" t="str">
            <v>un</v>
          </cell>
          <cell r="D395">
            <v>4.62</v>
          </cell>
        </row>
        <row r="396">
          <cell r="A396" t="str">
            <v>160314U</v>
          </cell>
          <cell r="B396" t="str">
            <v xml:space="preserve">ADAPTADOR LR P/ REGISTRO 11/2" X 50 MM </v>
          </cell>
          <cell r="C396" t="str">
            <v>un</v>
          </cell>
          <cell r="D396">
            <v>7.19</v>
          </cell>
        </row>
        <row r="397">
          <cell r="A397" t="str">
            <v>160315U</v>
          </cell>
          <cell r="B397" t="str">
            <v xml:space="preserve">ADAPTADOR LR P/ REGISTRO 2" X 60 MM </v>
          </cell>
          <cell r="C397" t="str">
            <v>un</v>
          </cell>
          <cell r="D397">
            <v>11.02</v>
          </cell>
        </row>
        <row r="398">
          <cell r="A398" t="str">
            <v>160316U</v>
          </cell>
          <cell r="B398" t="str">
            <v xml:space="preserve">ADAPTADOR LR P/ REGISTRO 21/2" X 75 MM </v>
          </cell>
          <cell r="C398" t="str">
            <v>un</v>
          </cell>
          <cell r="D398">
            <v>17.04</v>
          </cell>
        </row>
        <row r="399">
          <cell r="A399" t="str">
            <v>160317U</v>
          </cell>
          <cell r="B399" t="str">
            <v>ADAPTADOR 3/4"X25 MM C/FLANGES LIVRES P/ CX DAGUA</v>
          </cell>
          <cell r="C399" t="str">
            <v>un</v>
          </cell>
          <cell r="D399">
            <v>12.36</v>
          </cell>
        </row>
        <row r="400">
          <cell r="A400" t="str">
            <v>160318U</v>
          </cell>
          <cell r="B400" t="str">
            <v>ADAPTADOR 1"X32 MM C/FLANGES LIVRES P/ CAIXA DAGUA</v>
          </cell>
          <cell r="C400" t="str">
            <v>un</v>
          </cell>
          <cell r="D400">
            <v>17.2</v>
          </cell>
        </row>
        <row r="401">
          <cell r="A401" t="str">
            <v>160319U</v>
          </cell>
          <cell r="B401" t="str">
            <v>ADAPTADOR 11/4"X40 MM C/FLANGES LIVRES P/ CX.DAGUA</v>
          </cell>
          <cell r="C401" t="str">
            <v>un</v>
          </cell>
          <cell r="D401">
            <v>24.33</v>
          </cell>
        </row>
        <row r="402">
          <cell r="A402" t="str">
            <v>160320U</v>
          </cell>
          <cell r="B402" t="str">
            <v>ADAPTADOR 11/2"X50 MM C/FLANGES LIVRES P/ CX.DAGUA</v>
          </cell>
          <cell r="C402" t="str">
            <v>un</v>
          </cell>
          <cell r="D402">
            <v>33.159999999999997</v>
          </cell>
        </row>
        <row r="403">
          <cell r="A403" t="str">
            <v>160321U</v>
          </cell>
          <cell r="B403" t="str">
            <v>ADAPTADOR 2"X60 MM C/FLANGES LIVRES P/ CAIXA DAGUA</v>
          </cell>
          <cell r="C403" t="str">
            <v>un</v>
          </cell>
          <cell r="D403">
            <v>41.42</v>
          </cell>
        </row>
        <row r="404">
          <cell r="A404" t="str">
            <v>160322U</v>
          </cell>
          <cell r="B404" t="str">
            <v>ADAPTADOR 21/2"X75 MM C/FLANGES LIVRES P/ CX DAGUA</v>
          </cell>
          <cell r="C404" t="str">
            <v>un</v>
          </cell>
          <cell r="D404">
            <v>168.6</v>
          </cell>
        </row>
        <row r="405">
          <cell r="A405" t="str">
            <v>160323U</v>
          </cell>
          <cell r="B405" t="str">
            <v xml:space="preserve">BUCHA REDUCAO SOLDAVEL 25 X 20 MM </v>
          </cell>
          <cell r="C405" t="str">
            <v>un</v>
          </cell>
          <cell r="D405">
            <v>1.46</v>
          </cell>
        </row>
        <row r="406">
          <cell r="A406" t="str">
            <v>160324U</v>
          </cell>
          <cell r="B406" t="str">
            <v xml:space="preserve">BUCHA REDUCAO SOLDAVEL 32 X 25 MM </v>
          </cell>
          <cell r="C406" t="str">
            <v>un</v>
          </cell>
          <cell r="D406">
            <v>2.19</v>
          </cell>
        </row>
        <row r="407">
          <cell r="A407" t="str">
            <v>160325U</v>
          </cell>
          <cell r="B407" t="str">
            <v xml:space="preserve">BUCHA REDUCAO SOLDAVEL 40 X 25 MM </v>
          </cell>
          <cell r="C407" t="str">
            <v>un</v>
          </cell>
          <cell r="D407">
            <v>4.3899999999999997</v>
          </cell>
        </row>
        <row r="408">
          <cell r="A408" t="str">
            <v>160326U</v>
          </cell>
          <cell r="B408" t="str">
            <v xml:space="preserve">BUCHA REDUCAO SOLDAVEL 40 X 32 MM </v>
          </cell>
          <cell r="C408" t="str">
            <v>un</v>
          </cell>
          <cell r="D408">
            <v>3.63</v>
          </cell>
        </row>
        <row r="409">
          <cell r="A409" t="str">
            <v>160327U</v>
          </cell>
          <cell r="B409" t="str">
            <v xml:space="preserve">BUCHA REDUCAO SOLDAVEL 50 X 25 MM </v>
          </cell>
          <cell r="C409" t="str">
            <v>un</v>
          </cell>
          <cell r="D409">
            <v>6.16</v>
          </cell>
        </row>
        <row r="410">
          <cell r="A410" t="str">
            <v>160328U</v>
          </cell>
          <cell r="B410" t="str">
            <v xml:space="preserve">BUCHA REDUCAO SOLDAVEL 50 X 32 MM </v>
          </cell>
          <cell r="C410" t="str">
            <v>un</v>
          </cell>
          <cell r="D410">
            <v>6.71</v>
          </cell>
        </row>
        <row r="411">
          <cell r="A411" t="str">
            <v>160329U</v>
          </cell>
          <cell r="B411" t="str">
            <v xml:space="preserve">BUCHA REDUCAO SOLDAVEL 50 X 40 MM </v>
          </cell>
          <cell r="C411" t="str">
            <v>un</v>
          </cell>
          <cell r="D411">
            <v>5.97</v>
          </cell>
        </row>
        <row r="412">
          <cell r="A412" t="str">
            <v>160330U</v>
          </cell>
          <cell r="B412" t="str">
            <v xml:space="preserve">BUCHA REDUCAO SOLDAVEL 60 X 40 MM </v>
          </cell>
          <cell r="C412" t="str">
            <v>un</v>
          </cell>
          <cell r="D412">
            <v>9.84</v>
          </cell>
        </row>
        <row r="413">
          <cell r="A413" t="str">
            <v>160331U</v>
          </cell>
          <cell r="B413" t="str">
            <v xml:space="preserve">BUCHA REDUCAO SOLDAVEL 60 X 50 MM </v>
          </cell>
          <cell r="C413" t="str">
            <v>un</v>
          </cell>
          <cell r="D413">
            <v>7.83</v>
          </cell>
        </row>
        <row r="414">
          <cell r="A414" t="str">
            <v>160332U</v>
          </cell>
          <cell r="B414" t="str">
            <v xml:space="preserve">BUCHA REDUCAO SOLDAVEL 75 X 50 MM </v>
          </cell>
          <cell r="C414" t="str">
            <v>un</v>
          </cell>
          <cell r="D414">
            <v>14.55</v>
          </cell>
        </row>
        <row r="415">
          <cell r="A415" t="str">
            <v>160333U</v>
          </cell>
          <cell r="B415" t="str">
            <v xml:space="preserve">BUCHA REDUCAO SOLDAVEL 75 X 60 MM </v>
          </cell>
          <cell r="C415" t="str">
            <v>un</v>
          </cell>
          <cell r="D415">
            <v>14.41</v>
          </cell>
        </row>
        <row r="416">
          <cell r="A416" t="str">
            <v>160334U</v>
          </cell>
          <cell r="B416" t="str">
            <v xml:space="preserve">JOELHO 90 DE PVC SOLDAVEL 20 MM </v>
          </cell>
          <cell r="C416" t="str">
            <v>un</v>
          </cell>
          <cell r="D416">
            <v>1.26</v>
          </cell>
        </row>
        <row r="417">
          <cell r="A417" t="str">
            <v>160335U</v>
          </cell>
          <cell r="B417" t="str">
            <v xml:space="preserve">JOELHO 90 DE PVC SOLDAVEL 25 MM </v>
          </cell>
          <cell r="C417" t="str">
            <v>un</v>
          </cell>
          <cell r="D417">
            <v>1.83</v>
          </cell>
        </row>
        <row r="418">
          <cell r="A418" t="str">
            <v>160336U</v>
          </cell>
          <cell r="B418" t="str">
            <v xml:space="preserve">JOELHO 90 DE PVC SOLDAVEL 32 MM </v>
          </cell>
          <cell r="C418" t="str">
            <v>un</v>
          </cell>
          <cell r="D418">
            <v>3.56</v>
          </cell>
        </row>
        <row r="419">
          <cell r="A419" t="str">
            <v>160337U</v>
          </cell>
          <cell r="B419" t="str">
            <v xml:space="preserve">JOELHO 90 DE PVC SOLDAVEL 40 MM </v>
          </cell>
          <cell r="C419" t="str">
            <v>un</v>
          </cell>
          <cell r="D419">
            <v>6.94</v>
          </cell>
        </row>
        <row r="420">
          <cell r="A420" t="str">
            <v>160338U</v>
          </cell>
          <cell r="B420" t="str">
            <v xml:space="preserve">JOELHO 90 DE PVC SOLDAVEL 50 MM </v>
          </cell>
          <cell r="C420" t="str">
            <v>un</v>
          </cell>
          <cell r="D420">
            <v>9.61</v>
          </cell>
        </row>
        <row r="421">
          <cell r="A421" t="str">
            <v>160339U</v>
          </cell>
          <cell r="B421" t="str">
            <v xml:space="preserve">JOELHO 90 DE PVC SOLDAVEL 60 MM </v>
          </cell>
          <cell r="C421" t="str">
            <v>un</v>
          </cell>
          <cell r="D421">
            <v>21.45</v>
          </cell>
        </row>
        <row r="422">
          <cell r="A422" t="str">
            <v>160340U</v>
          </cell>
          <cell r="B422" t="str">
            <v xml:space="preserve">JOELHO 90 DE PVC SOLDAVEL 75 MM </v>
          </cell>
          <cell r="C422" t="str">
            <v>un</v>
          </cell>
          <cell r="D422">
            <v>55.76</v>
          </cell>
        </row>
        <row r="423">
          <cell r="A423" t="str">
            <v>160341U</v>
          </cell>
          <cell r="B423" t="str">
            <v xml:space="preserve">JOELHO 45 DE PVC SOLDAVEL 20 MM </v>
          </cell>
          <cell r="C423" t="str">
            <v>un</v>
          </cell>
          <cell r="D423">
            <v>1.38</v>
          </cell>
        </row>
        <row r="424">
          <cell r="A424" t="str">
            <v>160342U</v>
          </cell>
          <cell r="B424" t="str">
            <v xml:space="preserve">JOELHO 45 DE PVC SOLDAVEL 25 MM </v>
          </cell>
          <cell r="C424" t="str">
            <v>un</v>
          </cell>
          <cell r="D424">
            <v>2.31</v>
          </cell>
        </row>
        <row r="425">
          <cell r="A425" t="str">
            <v>160343U</v>
          </cell>
          <cell r="B425" t="str">
            <v xml:space="preserve">JOELHO 45 DE PVC SOLDAVEL 32 MM </v>
          </cell>
          <cell r="C425" t="str">
            <v>un</v>
          </cell>
          <cell r="D425">
            <v>4.6399999999999997</v>
          </cell>
        </row>
        <row r="426">
          <cell r="A426" t="str">
            <v>160344U</v>
          </cell>
          <cell r="B426" t="str">
            <v xml:space="preserve">JOELHO 45 DE PVC SOLDAVEL 40 MM </v>
          </cell>
          <cell r="C426" t="str">
            <v>un</v>
          </cell>
          <cell r="D426">
            <v>7.42</v>
          </cell>
        </row>
        <row r="427">
          <cell r="A427" t="str">
            <v>160345U</v>
          </cell>
          <cell r="B427" t="str">
            <v xml:space="preserve">JOELHO 45 DE PVC SOLDAVEL 50 MM </v>
          </cell>
          <cell r="C427" t="str">
            <v>un</v>
          </cell>
          <cell r="D427">
            <v>10.45</v>
          </cell>
        </row>
        <row r="428">
          <cell r="A428" t="str">
            <v>160346U</v>
          </cell>
          <cell r="B428" t="str">
            <v xml:space="preserve">JOELHO 45 DE PVC SOLDAVEL 60 MM </v>
          </cell>
          <cell r="C428" t="str">
            <v>un</v>
          </cell>
          <cell r="D428">
            <v>20.85</v>
          </cell>
        </row>
        <row r="429">
          <cell r="A429" t="str">
            <v>160347U</v>
          </cell>
          <cell r="B429" t="str">
            <v xml:space="preserve">LUVA DE PVC SOLDAVEL 20 MM </v>
          </cell>
          <cell r="C429" t="str">
            <v>un</v>
          </cell>
          <cell r="D429">
            <v>1.38</v>
          </cell>
        </row>
        <row r="430">
          <cell r="A430" t="str">
            <v>160348U</v>
          </cell>
          <cell r="B430" t="str">
            <v xml:space="preserve">LUVA DE PVC SOLDAVEL 25 MM </v>
          </cell>
          <cell r="C430" t="str">
            <v>un</v>
          </cell>
          <cell r="D430">
            <v>1.83</v>
          </cell>
        </row>
        <row r="431">
          <cell r="A431" t="str">
            <v>160349U</v>
          </cell>
          <cell r="B431" t="str">
            <v xml:space="preserve">LUVA DE PVC SOLDAVEL 32 MM </v>
          </cell>
          <cell r="C431" t="str">
            <v>un</v>
          </cell>
          <cell r="D431">
            <v>3.32</v>
          </cell>
        </row>
        <row r="432">
          <cell r="A432" t="str">
            <v>160350U</v>
          </cell>
          <cell r="B432" t="str">
            <v xml:space="preserve">LUVA DE PVC SOLDAVEL 40 MM </v>
          </cell>
          <cell r="C432" t="str">
            <v>un</v>
          </cell>
          <cell r="D432">
            <v>6.22</v>
          </cell>
        </row>
        <row r="433">
          <cell r="A433" t="str">
            <v>160351U</v>
          </cell>
          <cell r="B433" t="str">
            <v xml:space="preserve">LUVA DE PVC SOLDAVEL 50 MM </v>
          </cell>
          <cell r="C433" t="str">
            <v>un</v>
          </cell>
          <cell r="D433">
            <v>8.77</v>
          </cell>
        </row>
        <row r="434">
          <cell r="A434" t="str">
            <v>160352U</v>
          </cell>
          <cell r="B434" t="str">
            <v xml:space="preserve">LUVA DE PVC SOLDAVEL 60 MM </v>
          </cell>
          <cell r="C434" t="str">
            <v>un</v>
          </cell>
          <cell r="D434">
            <v>13.75</v>
          </cell>
        </row>
        <row r="435">
          <cell r="A435" t="str">
            <v>160353U</v>
          </cell>
          <cell r="B435" t="str">
            <v xml:space="preserve">LUVA DE PVC SOLDAVEL 75 MM </v>
          </cell>
          <cell r="C435" t="str">
            <v>un</v>
          </cell>
          <cell r="D435">
            <v>19.670000000000002</v>
          </cell>
        </row>
        <row r="436">
          <cell r="A436" t="str">
            <v>160354U</v>
          </cell>
          <cell r="B436" t="str">
            <v xml:space="preserve">TE 90 DE PVC SOLDAVEL 25 MM </v>
          </cell>
          <cell r="C436" t="str">
            <v>un</v>
          </cell>
          <cell r="D436">
            <v>2.74</v>
          </cell>
        </row>
        <row r="437">
          <cell r="A437" t="str">
            <v>160355U</v>
          </cell>
          <cell r="B437" t="str">
            <v xml:space="preserve">TE 90 DE PVC SOLDAVEL 32 MM </v>
          </cell>
          <cell r="C437" t="str">
            <v>un</v>
          </cell>
          <cell r="D437">
            <v>5.47</v>
          </cell>
        </row>
        <row r="438">
          <cell r="A438" t="str">
            <v>160356U</v>
          </cell>
          <cell r="B438" t="str">
            <v xml:space="preserve">TE 90 DE PVC SOLDAVEL 40 MM </v>
          </cell>
          <cell r="C438" t="str">
            <v>un</v>
          </cell>
          <cell r="D438">
            <v>11.14</v>
          </cell>
        </row>
        <row r="439">
          <cell r="A439" t="str">
            <v>160357U</v>
          </cell>
          <cell r="B439" t="str">
            <v xml:space="preserve">TE 90 DE PVC SOLDAVEL 50 MM </v>
          </cell>
          <cell r="C439" t="str">
            <v>un</v>
          </cell>
          <cell r="D439">
            <v>14.83</v>
          </cell>
        </row>
        <row r="440">
          <cell r="A440" t="str">
            <v>160358U</v>
          </cell>
          <cell r="B440" t="str">
            <v xml:space="preserve">TE 90 DE PVC SOLDAVEL 60 MM </v>
          </cell>
          <cell r="C440" t="str">
            <v>un</v>
          </cell>
          <cell r="D440">
            <v>27.36</v>
          </cell>
        </row>
        <row r="441">
          <cell r="A441" t="str">
            <v>160359U</v>
          </cell>
          <cell r="B441" t="str">
            <v xml:space="preserve">TE 90 DE PVC SOLDAVEL 75 MM </v>
          </cell>
          <cell r="C441" t="str">
            <v>un</v>
          </cell>
          <cell r="D441">
            <v>45.67</v>
          </cell>
        </row>
        <row r="442">
          <cell r="A442" t="str">
            <v>160360U</v>
          </cell>
          <cell r="B442" t="str">
            <v xml:space="preserve">TE 90 REDUCAO PVC SOLDAVEL 25 X 20 MM </v>
          </cell>
          <cell r="C442" t="str">
            <v>un</v>
          </cell>
          <cell r="D442">
            <v>3.77</v>
          </cell>
        </row>
        <row r="443">
          <cell r="A443" t="str">
            <v>160361U</v>
          </cell>
          <cell r="B443" t="str">
            <v xml:space="preserve">TE 90 REDUCAO PVC SOLDAVEL 32 X 25 MM </v>
          </cell>
          <cell r="C443" t="str">
            <v>un</v>
          </cell>
          <cell r="D443">
            <v>6.95</v>
          </cell>
        </row>
        <row r="444">
          <cell r="A444" t="str">
            <v>160362U</v>
          </cell>
          <cell r="B444" t="str">
            <v xml:space="preserve">TE 90 REDUCAO PVC SOLDAVEL 40 X 25 MM </v>
          </cell>
          <cell r="C444" t="str">
            <v>un</v>
          </cell>
          <cell r="D444">
            <v>10.97</v>
          </cell>
        </row>
        <row r="445">
          <cell r="A445" t="str">
            <v>160363U</v>
          </cell>
          <cell r="B445" t="str">
            <v xml:space="preserve">TE 90 REDUCAO PVC SOLDAVEL 40 X 32 MM </v>
          </cell>
          <cell r="C445" t="str">
            <v>un</v>
          </cell>
          <cell r="D445">
            <v>10.76</v>
          </cell>
        </row>
        <row r="446">
          <cell r="A446" t="str">
            <v>160364U</v>
          </cell>
          <cell r="B446" t="str">
            <v xml:space="preserve">TE 90 REDUCAO PVC SOLDAVEL 50 X 25 MM </v>
          </cell>
          <cell r="C446" t="str">
            <v>un</v>
          </cell>
          <cell r="D446">
            <v>14.33</v>
          </cell>
        </row>
        <row r="447">
          <cell r="A447" t="str">
            <v>160365U</v>
          </cell>
          <cell r="B447" t="str">
            <v xml:space="preserve">TE 90 REDUCAO PVC SOLDAVEL 50 X 32 MM </v>
          </cell>
          <cell r="C447" t="str">
            <v>un</v>
          </cell>
          <cell r="D447">
            <v>16.940000000000001</v>
          </cell>
        </row>
        <row r="448">
          <cell r="A448" t="str">
            <v>160366U</v>
          </cell>
          <cell r="B448" t="str">
            <v xml:space="preserve">TE 90 REDUCAO PVC SOLDAVEL 50 X 40 MM </v>
          </cell>
          <cell r="C448" t="str">
            <v>un</v>
          </cell>
          <cell r="D448">
            <v>18.48</v>
          </cell>
        </row>
        <row r="449">
          <cell r="A449" t="str">
            <v>160367U</v>
          </cell>
          <cell r="B449" t="str">
            <v xml:space="preserve">TE 90 REDUCAO PVC SOLDAVEL 60 X 32 MM </v>
          </cell>
          <cell r="C449" t="str">
            <v>un</v>
          </cell>
          <cell r="D449">
            <v>18.91</v>
          </cell>
        </row>
        <row r="450">
          <cell r="A450" t="str">
            <v>160368U</v>
          </cell>
          <cell r="B450" t="str">
            <v xml:space="preserve">TE 90 REDUCAO PVC SOLDAVEL 60 X 40 MM </v>
          </cell>
          <cell r="C450" t="str">
            <v>un</v>
          </cell>
          <cell r="D450">
            <v>32.520000000000003</v>
          </cell>
        </row>
        <row r="451">
          <cell r="A451" t="str">
            <v>160369U</v>
          </cell>
          <cell r="B451" t="str">
            <v xml:space="preserve">TE 90 REDUCAO PVC SOLDAVEL 60 X 50 MM </v>
          </cell>
          <cell r="C451" t="str">
            <v>un</v>
          </cell>
          <cell r="D451">
            <v>30.11</v>
          </cell>
        </row>
        <row r="452">
          <cell r="A452" t="str">
            <v>160370U</v>
          </cell>
          <cell r="B452" t="str">
            <v xml:space="preserve">TE 90 REDUCAO PVC SOLDAVEL 75 X 50 MM </v>
          </cell>
          <cell r="C452" t="str">
            <v>un</v>
          </cell>
          <cell r="D452">
            <v>37.39</v>
          </cell>
        </row>
        <row r="453">
          <cell r="A453" t="str">
            <v>160371U</v>
          </cell>
          <cell r="B453" t="str">
            <v xml:space="preserve">TE 90 REDUCAO PVC SOLDAVEL 75 X 60 MM </v>
          </cell>
          <cell r="C453" t="str">
            <v>un</v>
          </cell>
          <cell r="D453">
            <v>54.62</v>
          </cell>
        </row>
        <row r="454">
          <cell r="A454" t="str">
            <v>160372U</v>
          </cell>
          <cell r="B454" t="str">
            <v xml:space="preserve">UNIAO DE PVC SOLDAVEL 25 MM </v>
          </cell>
          <cell r="C454" t="str">
            <v>un</v>
          </cell>
          <cell r="D454">
            <v>6.03</v>
          </cell>
        </row>
        <row r="455">
          <cell r="A455" t="str">
            <v>160373U</v>
          </cell>
          <cell r="B455" t="str">
            <v xml:space="preserve">UNIAO DE PVC SOLDAVEL 32 MM </v>
          </cell>
          <cell r="C455" t="str">
            <v>un</v>
          </cell>
          <cell r="D455">
            <v>10.84</v>
          </cell>
        </row>
        <row r="456">
          <cell r="A456" t="str">
            <v>160374U</v>
          </cell>
          <cell r="B456" t="str">
            <v xml:space="preserve">UNIAO DE PVC SOLDAVEL 40 MM </v>
          </cell>
          <cell r="C456" t="str">
            <v>un</v>
          </cell>
          <cell r="D456">
            <v>20.5</v>
          </cell>
        </row>
        <row r="457">
          <cell r="A457" t="str">
            <v>160375U</v>
          </cell>
          <cell r="B457" t="str">
            <v xml:space="preserve">UNIAO DE PVC SOLDAVEL 50 MM </v>
          </cell>
          <cell r="C457" t="str">
            <v>un</v>
          </cell>
          <cell r="D457">
            <v>25.43</v>
          </cell>
        </row>
        <row r="458">
          <cell r="A458" t="str">
            <v>160376U</v>
          </cell>
          <cell r="B458" t="str">
            <v xml:space="preserve">UNIAO DE PVC SOLDAVEL 60 MM </v>
          </cell>
          <cell r="C458" t="str">
            <v>un</v>
          </cell>
          <cell r="D458">
            <v>46.66</v>
          </cell>
        </row>
        <row r="459">
          <cell r="A459" t="str">
            <v>160377U</v>
          </cell>
          <cell r="B459" t="str">
            <v xml:space="preserve">UNIAO DE PVC SOLDAVEL 75 MM </v>
          </cell>
          <cell r="C459" t="str">
            <v>un</v>
          </cell>
          <cell r="D459">
            <v>122.94</v>
          </cell>
        </row>
        <row r="460">
          <cell r="A460" t="str">
            <v>160378U</v>
          </cell>
          <cell r="B460" t="str">
            <v xml:space="preserve">LUVA LR PVC 1/2" X 20 MM </v>
          </cell>
          <cell r="C460" t="str">
            <v>un</v>
          </cell>
          <cell r="D460">
            <v>1.6</v>
          </cell>
        </row>
        <row r="461">
          <cell r="A461" t="str">
            <v>160379U</v>
          </cell>
          <cell r="B461" t="str">
            <v xml:space="preserve">LUVA LR PVC 1/2" X 25 MM </v>
          </cell>
          <cell r="C461" t="str">
            <v>un</v>
          </cell>
          <cell r="D461">
            <v>2.35</v>
          </cell>
        </row>
        <row r="462">
          <cell r="A462" t="str">
            <v>160380U</v>
          </cell>
          <cell r="B462" t="str">
            <v xml:space="preserve">LUVA LR PVC 1" X 25 MM </v>
          </cell>
          <cell r="C462" t="str">
            <v>un</v>
          </cell>
          <cell r="D462">
            <v>2.11</v>
          </cell>
        </row>
        <row r="463">
          <cell r="A463" t="str">
            <v>160381U</v>
          </cell>
          <cell r="B463" t="str">
            <v xml:space="preserve">LUVA LR PVC 1" X 32 MM </v>
          </cell>
          <cell r="C463" t="str">
            <v>un</v>
          </cell>
          <cell r="D463">
            <v>4.84</v>
          </cell>
        </row>
        <row r="464">
          <cell r="A464" t="str">
            <v>160382U</v>
          </cell>
          <cell r="B464" t="str">
            <v xml:space="preserve">LUVA SOLD. C/BUCHA LATAO 1/2" X 20 MM </v>
          </cell>
          <cell r="C464" t="str">
            <v>un</v>
          </cell>
          <cell r="D464">
            <v>4.01</v>
          </cell>
        </row>
        <row r="465">
          <cell r="A465" t="str">
            <v>160383U</v>
          </cell>
          <cell r="B465" t="str">
            <v xml:space="preserve">LUVA SOLD. C/BUCHA LATAO 1/2" X 25 MM </v>
          </cell>
          <cell r="C465" t="str">
            <v>un</v>
          </cell>
          <cell r="D465">
            <v>4.51</v>
          </cell>
        </row>
        <row r="466">
          <cell r="A466" t="str">
            <v>160384U</v>
          </cell>
          <cell r="B466" t="str">
            <v xml:space="preserve">LUVA SOLD. C/BUCHA LATAO 3/4" X 25 MM </v>
          </cell>
          <cell r="C466" t="str">
            <v>un</v>
          </cell>
          <cell r="D466">
            <v>5.59</v>
          </cell>
        </row>
        <row r="467">
          <cell r="A467" t="str">
            <v>160385U</v>
          </cell>
          <cell r="B467" t="str">
            <v xml:space="preserve">JOELHO 90 LR SOLDAVEL 1/2" X 20 MM </v>
          </cell>
          <cell r="C467" t="str">
            <v>un</v>
          </cell>
          <cell r="D467">
            <v>1.84</v>
          </cell>
        </row>
        <row r="468">
          <cell r="A468" t="str">
            <v>160386U</v>
          </cell>
          <cell r="B468" t="str">
            <v xml:space="preserve">JOELHO 90 LR SOLDAVEL 1/2" X 25 MM </v>
          </cell>
          <cell r="C468" t="str">
            <v>un</v>
          </cell>
          <cell r="D468">
            <v>2.35</v>
          </cell>
        </row>
        <row r="469">
          <cell r="A469" t="str">
            <v>160387U</v>
          </cell>
          <cell r="B469" t="str">
            <v xml:space="preserve">JOELHO 90 LR SOLDAVEL 3/4" X 25 MM </v>
          </cell>
          <cell r="C469" t="str">
            <v>un</v>
          </cell>
          <cell r="D469">
            <v>3.07</v>
          </cell>
        </row>
        <row r="470">
          <cell r="A470" t="str">
            <v>160388U</v>
          </cell>
          <cell r="B470" t="str">
            <v xml:space="preserve">JOELHO 90 SOLD C/BUCHA LATAO 1/2" X 20 MM </v>
          </cell>
          <cell r="C470" t="str">
            <v>un</v>
          </cell>
          <cell r="D470">
            <v>4.25</v>
          </cell>
        </row>
        <row r="471">
          <cell r="A471" t="str">
            <v>160389U</v>
          </cell>
          <cell r="B471" t="str">
            <v xml:space="preserve">JOELHO 90 SOLD. C/BUCHA LATAO 1/2" X 25 MM </v>
          </cell>
          <cell r="C471" t="str">
            <v>un</v>
          </cell>
          <cell r="D471">
            <v>4.75</v>
          </cell>
        </row>
        <row r="472">
          <cell r="A472" t="str">
            <v>160390U</v>
          </cell>
          <cell r="B472" t="str">
            <v xml:space="preserve">JOELHO 90 SOLD. C/BUCHA LATAO 3/4" X 25 MM </v>
          </cell>
          <cell r="C472" t="str">
            <v>un</v>
          </cell>
          <cell r="D472">
            <v>5.47</v>
          </cell>
        </row>
        <row r="473">
          <cell r="A473" t="str">
            <v>160391U</v>
          </cell>
          <cell r="B473" t="str">
            <v xml:space="preserve">TE 90 SOLD. C/BUCHA DE LATAO 1/2"X20 MM </v>
          </cell>
          <cell r="C473" t="str">
            <v>un</v>
          </cell>
          <cell r="D473">
            <v>6.63</v>
          </cell>
        </row>
        <row r="474">
          <cell r="A474" t="str">
            <v>160392U</v>
          </cell>
          <cell r="B474" t="str">
            <v xml:space="preserve">TE 90 SOLD. C/BUCHA DE LATAO 1/2"X25 MM </v>
          </cell>
          <cell r="C474" t="str">
            <v>un</v>
          </cell>
          <cell r="D474">
            <v>7.83</v>
          </cell>
        </row>
        <row r="475">
          <cell r="A475" t="str">
            <v>160393U</v>
          </cell>
          <cell r="B475" t="str">
            <v xml:space="preserve">TE 90 SOLD. C/BUCHA DE LATAO 3/4"X25 MM </v>
          </cell>
          <cell r="C475" t="str">
            <v>un</v>
          </cell>
          <cell r="D475">
            <v>8.07</v>
          </cell>
        </row>
        <row r="476">
          <cell r="A476" t="str">
            <v>160394U</v>
          </cell>
          <cell r="B476" t="str">
            <v xml:space="preserve">TE 90 SOLD. C/BUCHA DE LATAO 3/4"X32 MM </v>
          </cell>
          <cell r="C476" t="str">
            <v>un</v>
          </cell>
          <cell r="D476">
            <v>13.37</v>
          </cell>
        </row>
        <row r="477">
          <cell r="A477" t="str">
            <v>160395U</v>
          </cell>
          <cell r="B477" t="str">
            <v xml:space="preserve">CAP PVC SOLDAVEL 25 MM </v>
          </cell>
          <cell r="C477" t="str">
            <v>un</v>
          </cell>
          <cell r="D477">
            <v>1.89</v>
          </cell>
        </row>
        <row r="478">
          <cell r="A478" t="str">
            <v>160396U</v>
          </cell>
          <cell r="B478" t="str">
            <v xml:space="preserve">CAP PVC SOLDAVEL 20 MM </v>
          </cell>
          <cell r="C478" t="str">
            <v>un</v>
          </cell>
          <cell r="D478">
            <v>1.48</v>
          </cell>
        </row>
        <row r="479">
          <cell r="A479" t="str">
            <v>160397U</v>
          </cell>
          <cell r="B479" t="str">
            <v>PLUG DE PVC ROSCAVEL 1/2"</v>
          </cell>
          <cell r="C479" t="str">
            <v>un</v>
          </cell>
          <cell r="D479">
            <v>1.19</v>
          </cell>
        </row>
        <row r="480">
          <cell r="A480" t="str">
            <v>160398U</v>
          </cell>
          <cell r="B480" t="str">
            <v>PLUG DE PVC ROSCAVEL 3/4"</v>
          </cell>
          <cell r="C480" t="str">
            <v>un</v>
          </cell>
          <cell r="D480">
            <v>1.43</v>
          </cell>
        </row>
        <row r="481">
          <cell r="A481" t="str">
            <v>160399U</v>
          </cell>
          <cell r="B481" t="str">
            <v xml:space="preserve">BUCHA DE REDUCAO SOLDAVEL 60 X 25 MM </v>
          </cell>
          <cell r="C481" t="str">
            <v>un</v>
          </cell>
          <cell r="D481">
            <v>8.65</v>
          </cell>
        </row>
        <row r="482">
          <cell r="A482">
            <v>160400</v>
          </cell>
          <cell r="B482" t="str">
            <v>TUBOS E CONEXÕES DE PVC PARA ÁGUA</v>
          </cell>
        </row>
        <row r="483">
          <cell r="A483" t="str">
            <v>160401U</v>
          </cell>
          <cell r="B483" t="str">
            <v xml:space="preserve">CURVA 90 DE PVC SOLDAVEL 25 MM </v>
          </cell>
          <cell r="C483" t="str">
            <v>un</v>
          </cell>
          <cell r="D483">
            <v>2.91</v>
          </cell>
        </row>
        <row r="484">
          <cell r="A484" t="str">
            <v>160402U</v>
          </cell>
          <cell r="B484" t="str">
            <v xml:space="preserve">CURVA 90 DE PVC SOLDAVEL 32 MM </v>
          </cell>
          <cell r="C484" t="str">
            <v>un</v>
          </cell>
          <cell r="D484">
            <v>5.85</v>
          </cell>
        </row>
        <row r="485">
          <cell r="A485" t="str">
            <v>160403U</v>
          </cell>
          <cell r="B485" t="str">
            <v xml:space="preserve">CURVA 90 DE PVC SOLDAVEL 60 MM </v>
          </cell>
          <cell r="C485" t="str">
            <v>un</v>
          </cell>
          <cell r="D485">
            <v>24.22</v>
          </cell>
        </row>
        <row r="486">
          <cell r="A486" t="str">
            <v>160404U</v>
          </cell>
          <cell r="B486" t="str">
            <v xml:space="preserve">CURVA 45 DE PVC SOLDAVEL 25 MM </v>
          </cell>
          <cell r="C486" t="str">
            <v>un</v>
          </cell>
          <cell r="D486">
            <v>2.57</v>
          </cell>
        </row>
        <row r="487">
          <cell r="A487" t="str">
            <v>160405U</v>
          </cell>
          <cell r="B487" t="str">
            <v xml:space="preserve">CURVA 45 DE PVC SOLDAVEL 32 MM </v>
          </cell>
          <cell r="C487" t="str">
            <v>un</v>
          </cell>
          <cell r="D487">
            <v>3.8</v>
          </cell>
        </row>
        <row r="488">
          <cell r="A488" t="str">
            <v>160406U</v>
          </cell>
          <cell r="B488" t="str">
            <v xml:space="preserve">CURVA 45 DE PVC SOLDAVEL 60 MM </v>
          </cell>
          <cell r="C488" t="str">
            <v>un</v>
          </cell>
          <cell r="D488">
            <v>15.56</v>
          </cell>
        </row>
        <row r="489">
          <cell r="A489" t="str">
            <v>160407U</v>
          </cell>
          <cell r="B489" t="str">
            <v xml:space="preserve">LUVA DE PVC SOLDAVEL 85 MM </v>
          </cell>
          <cell r="C489" t="str">
            <v>un</v>
          </cell>
          <cell r="D489">
            <v>32.92</v>
          </cell>
        </row>
        <row r="490">
          <cell r="A490" t="str">
            <v>160408U</v>
          </cell>
          <cell r="B490" t="str">
            <v xml:space="preserve">LUVA DE PVC SOLDAVEL 110 MM </v>
          </cell>
          <cell r="C490" t="str">
            <v>un</v>
          </cell>
          <cell r="D490">
            <v>55.57</v>
          </cell>
        </row>
        <row r="491">
          <cell r="A491" t="str">
            <v>160409U</v>
          </cell>
          <cell r="B491" t="str">
            <v xml:space="preserve">UNIAO DE PVC SOLDAVEL 85 MM </v>
          </cell>
          <cell r="C491" t="str">
            <v>un</v>
          </cell>
          <cell r="D491">
            <v>125.31</v>
          </cell>
        </row>
        <row r="492">
          <cell r="A492" t="str">
            <v>160410U</v>
          </cell>
          <cell r="B492" t="str">
            <v xml:space="preserve">UNIAO DE PVC SOLDAVEL 110 MM </v>
          </cell>
          <cell r="C492" t="str">
            <v>un</v>
          </cell>
          <cell r="D492">
            <v>273.36</v>
          </cell>
        </row>
        <row r="493">
          <cell r="A493" t="str">
            <v>160411U</v>
          </cell>
          <cell r="B493" t="str">
            <v xml:space="preserve">JOELHO 90 DE PVC SOLDAVEL 85 MM </v>
          </cell>
          <cell r="C493" t="str">
            <v>un</v>
          </cell>
          <cell r="D493">
            <v>71.319999999999993</v>
          </cell>
        </row>
        <row r="494">
          <cell r="A494" t="str">
            <v>160412U</v>
          </cell>
          <cell r="B494" t="str">
            <v xml:space="preserve">JOELHO 90 DE PVC SOLDAVEL 110 MM </v>
          </cell>
          <cell r="C494" t="str">
            <v>un</v>
          </cell>
          <cell r="D494">
            <v>146.19999999999999</v>
          </cell>
        </row>
        <row r="495">
          <cell r="A495" t="str">
            <v>160413U</v>
          </cell>
          <cell r="B495" t="str">
            <v xml:space="preserve">JOELHO 45 DE PVC SOLDAVEL 85 MM </v>
          </cell>
          <cell r="C495" t="str">
            <v>un</v>
          </cell>
          <cell r="D495">
            <v>54.64</v>
          </cell>
        </row>
        <row r="496">
          <cell r="A496" t="str">
            <v>160414U</v>
          </cell>
          <cell r="B496" t="str">
            <v xml:space="preserve">JOELHO 45 DE PVC SOLDAVEL 110 MM </v>
          </cell>
          <cell r="C496" t="str">
            <v>un</v>
          </cell>
          <cell r="D496">
            <v>131.69999999999999</v>
          </cell>
        </row>
        <row r="497">
          <cell r="A497" t="str">
            <v>160415U</v>
          </cell>
          <cell r="B497" t="str">
            <v>ADAP. PVC 3"X 85 MM C/FLANGES LIVRES P/ CX DAGUA</v>
          </cell>
          <cell r="C497" t="str">
            <v>un</v>
          </cell>
          <cell r="D497">
            <v>156.82</v>
          </cell>
        </row>
        <row r="498">
          <cell r="A498" t="str">
            <v>160416U</v>
          </cell>
          <cell r="B498" t="str">
            <v>ADAP. PVC 4"X 110 MM C/FLANGES LIVRES P/ CX.DAGUA</v>
          </cell>
          <cell r="C498" t="str">
            <v>un</v>
          </cell>
          <cell r="D498">
            <v>220.55</v>
          </cell>
        </row>
        <row r="499">
          <cell r="A499" t="str">
            <v>160417U</v>
          </cell>
          <cell r="B499" t="str">
            <v>CURVA 90 DE PVC SOLDAVEL 40 MM P/ AGUA</v>
          </cell>
          <cell r="C499" t="str">
            <v>un</v>
          </cell>
          <cell r="D499">
            <v>10.19</v>
          </cell>
        </row>
        <row r="500">
          <cell r="A500" t="str">
            <v>160418U</v>
          </cell>
          <cell r="B500" t="str">
            <v>CURVA 90 DE PVC SOLDAVEL 50 MM P/ AGUA</v>
          </cell>
          <cell r="C500" t="str">
            <v>un</v>
          </cell>
          <cell r="D500">
            <v>13.7</v>
          </cell>
        </row>
        <row r="501">
          <cell r="A501" t="str">
            <v>160419U</v>
          </cell>
          <cell r="B501" t="str">
            <v>CURVA 90 DE PVC SOLDAVEL 75 MM P/ AGUA</v>
          </cell>
          <cell r="C501" t="str">
            <v>un</v>
          </cell>
          <cell r="D501">
            <v>32.18</v>
          </cell>
        </row>
        <row r="502">
          <cell r="A502" t="str">
            <v>160420U</v>
          </cell>
          <cell r="B502" t="str">
            <v>CURVA 90 DE PVC SOLDAVEL 85 MM P/ AGUA</v>
          </cell>
          <cell r="C502" t="str">
            <v>un</v>
          </cell>
          <cell r="D502">
            <v>43.53</v>
          </cell>
        </row>
        <row r="503">
          <cell r="A503" t="str">
            <v>160421U</v>
          </cell>
          <cell r="B503" t="str">
            <v>CURVA 90 DE PVC SOLDAVEL 110 MM P/ AGUA</v>
          </cell>
          <cell r="C503" t="str">
            <v>un</v>
          </cell>
          <cell r="D503">
            <v>84.3</v>
          </cell>
        </row>
        <row r="504">
          <cell r="A504" t="str">
            <v>160422U</v>
          </cell>
          <cell r="B504" t="str">
            <v>CURVA 45 DE PVC SOLDAVEL 40 MM P/ AGUA</v>
          </cell>
          <cell r="C504" t="str">
            <v>un</v>
          </cell>
          <cell r="D504">
            <v>6.7</v>
          </cell>
        </row>
        <row r="505">
          <cell r="A505" t="str">
            <v>160423U</v>
          </cell>
          <cell r="B505" t="str">
            <v>CURVA 45 DE PVC SOLDAVEL 50 MM P/ AGUA</v>
          </cell>
          <cell r="C505" t="str">
            <v>un</v>
          </cell>
          <cell r="D505">
            <v>11.54</v>
          </cell>
        </row>
        <row r="506">
          <cell r="A506" t="str">
            <v>160424U</v>
          </cell>
          <cell r="B506" t="str">
            <v>CURVA 45 DE PVC SOLDAVEL 75 MM P/ AGUA</v>
          </cell>
          <cell r="C506" t="str">
            <v>un</v>
          </cell>
          <cell r="D506">
            <v>25.57</v>
          </cell>
        </row>
        <row r="507">
          <cell r="A507" t="str">
            <v>160425U</v>
          </cell>
          <cell r="B507" t="str">
            <v>CURVA 45 DE PVC SOLDAVEL 85 MM P/ AGUA</v>
          </cell>
          <cell r="C507" t="str">
            <v>un</v>
          </cell>
          <cell r="D507">
            <v>35.76</v>
          </cell>
        </row>
        <row r="508">
          <cell r="A508" t="str">
            <v>160426U</v>
          </cell>
          <cell r="B508" t="str">
            <v>CURVA 45 DE PVC SOLDAVEL 110 MM P/ AGUA</v>
          </cell>
          <cell r="C508" t="str">
            <v>un</v>
          </cell>
          <cell r="D508">
            <v>74.260000000000005</v>
          </cell>
        </row>
        <row r="509">
          <cell r="A509" t="str">
            <v>160427U</v>
          </cell>
          <cell r="B509" t="str">
            <v>TE 90 PVC LR 1/2" X 20 MM</v>
          </cell>
          <cell r="C509" t="str">
            <v>un</v>
          </cell>
          <cell r="D509">
            <v>2.66</v>
          </cell>
        </row>
        <row r="510">
          <cell r="A510" t="str">
            <v>160428U</v>
          </cell>
          <cell r="B510" t="str">
            <v>TE 90 PVC LR 1/2" X 25 MM</v>
          </cell>
          <cell r="C510" t="str">
            <v>un</v>
          </cell>
          <cell r="D510">
            <v>4.0999999999999996</v>
          </cell>
        </row>
        <row r="511">
          <cell r="A511" t="str">
            <v>160429U</v>
          </cell>
          <cell r="B511" t="str">
            <v>TE 90 PVC LR 3/4" X 25 MM</v>
          </cell>
          <cell r="C511" t="str">
            <v>un</v>
          </cell>
          <cell r="D511">
            <v>4.0999999999999996</v>
          </cell>
        </row>
        <row r="512">
          <cell r="A512" t="str">
            <v>160430U</v>
          </cell>
          <cell r="B512" t="str">
            <v>TE 90 PVC LR 3/4" X 32 MM</v>
          </cell>
          <cell r="C512" t="str">
            <v>un</v>
          </cell>
          <cell r="D512">
            <v>8.91</v>
          </cell>
        </row>
        <row r="513">
          <cell r="A513" t="str">
            <v>160431U</v>
          </cell>
          <cell r="B513" t="str">
            <v xml:space="preserve">UNIAO PVC SOLDAVEL 20 MM </v>
          </cell>
          <cell r="C513" t="str">
            <v>un</v>
          </cell>
          <cell r="D513">
            <v>4.9400000000000004</v>
          </cell>
        </row>
        <row r="514">
          <cell r="A514" t="str">
            <v>160432U</v>
          </cell>
          <cell r="B514" t="str">
            <v xml:space="preserve">TE 90 PVC SOLDAVEL 20 MM </v>
          </cell>
          <cell r="C514" t="str">
            <v>un</v>
          </cell>
          <cell r="D514">
            <v>1.82</v>
          </cell>
        </row>
        <row r="515">
          <cell r="A515" t="str">
            <v>160434U</v>
          </cell>
          <cell r="B515" t="str">
            <v xml:space="preserve">TE 90 PVC SOLDAVEL 85 MM </v>
          </cell>
          <cell r="C515" t="str">
            <v>un</v>
          </cell>
          <cell r="D515">
            <v>70.89</v>
          </cell>
        </row>
        <row r="516">
          <cell r="A516" t="str">
            <v>160435U</v>
          </cell>
          <cell r="B516" t="str">
            <v xml:space="preserve">TE 90 PVC SOLDAVEL 110 MM </v>
          </cell>
          <cell r="C516" t="str">
            <v>un</v>
          </cell>
          <cell r="D516">
            <v>117.48</v>
          </cell>
        </row>
        <row r="517">
          <cell r="A517" t="str">
            <v>160436U</v>
          </cell>
          <cell r="B517" t="str">
            <v>TE 90 REDUCAO PVC SOLDAVEL 85 X 50 MM P/ AGUA</v>
          </cell>
          <cell r="C517" t="str">
            <v>un</v>
          </cell>
          <cell r="D517">
            <v>56.82</v>
          </cell>
        </row>
        <row r="518">
          <cell r="A518" t="str">
            <v>160437U</v>
          </cell>
          <cell r="B518" t="str">
            <v>TE 90 REDUCAO PVC SOLDAVEL 85 X 60 MM P/ AGUA</v>
          </cell>
          <cell r="C518" t="str">
            <v>un</v>
          </cell>
          <cell r="D518">
            <v>53.61</v>
          </cell>
        </row>
        <row r="519">
          <cell r="A519" t="str">
            <v>160438U</v>
          </cell>
          <cell r="B519" t="str">
            <v>TE 90 REDUCAO PVC SOLDAVEL 85 X 75 MM P/ AGUA</v>
          </cell>
          <cell r="C519" t="str">
            <v>un</v>
          </cell>
          <cell r="D519">
            <v>78.069999999999993</v>
          </cell>
        </row>
        <row r="520">
          <cell r="A520" t="str">
            <v>160439U</v>
          </cell>
          <cell r="B520" t="str">
            <v xml:space="preserve">BUCHA REDUCAO SOLD. 60 X 32MM </v>
          </cell>
          <cell r="C520" t="str">
            <v>un</v>
          </cell>
          <cell r="D520">
            <v>9.68</v>
          </cell>
        </row>
        <row r="521">
          <cell r="A521">
            <v>160500</v>
          </cell>
          <cell r="B521" t="str">
            <v xml:space="preserve">PONTO DE ÁGUA </v>
          </cell>
        </row>
        <row r="522">
          <cell r="A522" t="str">
            <v>160501U</v>
          </cell>
          <cell r="B522" t="str">
            <v>PONTO DE ÁGUA FRIA</v>
          </cell>
          <cell r="C522" t="str">
            <v>un</v>
          </cell>
          <cell r="D522">
            <v>87.38</v>
          </cell>
        </row>
        <row r="523">
          <cell r="A523">
            <v>160600</v>
          </cell>
          <cell r="B523" t="str">
            <v>TUBOS E CONEXÕES DE FERRO GALVANIZADO</v>
          </cell>
        </row>
        <row r="524">
          <cell r="A524" t="str">
            <v>160601U</v>
          </cell>
          <cell r="B524" t="str">
            <v>TUBO DE FERRO GALVANIZADO D= 1/2"</v>
          </cell>
          <cell r="C524" t="str">
            <v>m</v>
          </cell>
          <cell r="D524">
            <v>19.38</v>
          </cell>
        </row>
        <row r="525">
          <cell r="A525" t="str">
            <v>160602U</v>
          </cell>
          <cell r="B525" t="str">
            <v>TUBO DE FERRO GALVANIZADO D= 3/4"</v>
          </cell>
          <cell r="C525" t="str">
            <v>m</v>
          </cell>
          <cell r="D525">
            <v>23.44</v>
          </cell>
        </row>
        <row r="526">
          <cell r="A526" t="str">
            <v>160603U</v>
          </cell>
          <cell r="B526" t="str">
            <v>TUBO DE FERRO GALVANIZADO D= 1"</v>
          </cell>
          <cell r="C526" t="str">
            <v>m</v>
          </cell>
          <cell r="D526">
            <v>30.82</v>
          </cell>
        </row>
        <row r="527">
          <cell r="A527" t="str">
            <v>160604U</v>
          </cell>
          <cell r="B527" t="str">
            <v>TUBO DE FERRO GALVANIZADO D= 11/4"</v>
          </cell>
          <cell r="C527" t="str">
            <v>m</v>
          </cell>
          <cell r="D527">
            <v>41.77</v>
          </cell>
        </row>
        <row r="528">
          <cell r="A528" t="str">
            <v>160605U</v>
          </cell>
          <cell r="B528" t="str">
            <v>TUBO DE FERRO GALVANIZADO D= 11/2"</v>
          </cell>
          <cell r="C528" t="str">
            <v>m</v>
          </cell>
          <cell r="D528">
            <v>52.82</v>
          </cell>
        </row>
        <row r="529">
          <cell r="A529" t="str">
            <v>160606U</v>
          </cell>
          <cell r="B529" t="str">
            <v>TUBO DE FERRO GALVANIZADO D= 2"</v>
          </cell>
          <cell r="C529" t="str">
            <v>m</v>
          </cell>
          <cell r="D529">
            <v>65.89</v>
          </cell>
        </row>
        <row r="530">
          <cell r="A530" t="str">
            <v>160607U</v>
          </cell>
          <cell r="B530" t="str">
            <v>TUBO DE FERRO GALVANIZADO D= 21/2"</v>
          </cell>
          <cell r="C530" t="str">
            <v>m</v>
          </cell>
          <cell r="D530">
            <v>86.02</v>
          </cell>
        </row>
        <row r="531">
          <cell r="A531" t="str">
            <v>160608U</v>
          </cell>
          <cell r="B531" t="str">
            <v>TUBO DE FERRO GALVANIZADO D= 3"</v>
          </cell>
          <cell r="C531" t="str">
            <v>m</v>
          </cell>
          <cell r="D531">
            <v>101.11</v>
          </cell>
        </row>
        <row r="532">
          <cell r="A532" t="str">
            <v>160609U</v>
          </cell>
          <cell r="B532" t="str">
            <v>TUBO DE FERRO GALVANIZADO D= 4"</v>
          </cell>
          <cell r="C532" t="str">
            <v>m</v>
          </cell>
          <cell r="D532">
            <v>137.94</v>
          </cell>
        </row>
        <row r="533">
          <cell r="A533" t="str">
            <v>160610U</v>
          </cell>
          <cell r="B533" t="str">
            <v>LUVA DE FERRO GALVANIZADO D= 1/2"</v>
          </cell>
          <cell r="C533" t="str">
            <v>un</v>
          </cell>
          <cell r="D533">
            <v>4.76</v>
          </cell>
        </row>
        <row r="534">
          <cell r="A534" t="str">
            <v>160611U</v>
          </cell>
          <cell r="B534" t="str">
            <v>LUVA DE FERRO GALVANIZADO D= 3/4"</v>
          </cell>
          <cell r="C534" t="str">
            <v>un</v>
          </cell>
          <cell r="D534">
            <v>8.52</v>
          </cell>
        </row>
        <row r="535">
          <cell r="A535" t="str">
            <v>160612U</v>
          </cell>
          <cell r="B535" t="str">
            <v>LUVA DE FERRO GALVANIZADO D= 1"</v>
          </cell>
          <cell r="C535" t="str">
            <v>un</v>
          </cell>
          <cell r="D535">
            <v>10.11</v>
          </cell>
        </row>
        <row r="536">
          <cell r="A536" t="str">
            <v>160613U</v>
          </cell>
          <cell r="B536" t="str">
            <v>LUVA DE FERRO GALVANIZADO D= 11/4"</v>
          </cell>
          <cell r="C536" t="str">
            <v>un</v>
          </cell>
          <cell r="D536">
            <v>16.100000000000001</v>
          </cell>
        </row>
        <row r="537">
          <cell r="A537" t="str">
            <v>160614U</v>
          </cell>
          <cell r="B537" t="str">
            <v>LUVA DE FERRO GALVANIZADO D= 11/2"</v>
          </cell>
          <cell r="C537" t="str">
            <v>un</v>
          </cell>
          <cell r="D537">
            <v>18.260000000000002</v>
          </cell>
        </row>
        <row r="538">
          <cell r="A538" t="str">
            <v>160615U</v>
          </cell>
          <cell r="B538" t="str">
            <v>LUVA DE FERRO GALVANIZADO D= 2"</v>
          </cell>
          <cell r="C538" t="str">
            <v>un</v>
          </cell>
          <cell r="D538">
            <v>22.59</v>
          </cell>
        </row>
        <row r="539">
          <cell r="A539" t="str">
            <v>160616U</v>
          </cell>
          <cell r="B539" t="str">
            <v>LUVA DE FERRO GALVANIZADO D= 21/2"</v>
          </cell>
          <cell r="C539" t="str">
            <v>un</v>
          </cell>
          <cell r="D539">
            <v>35.950000000000003</v>
          </cell>
        </row>
        <row r="540">
          <cell r="A540" t="str">
            <v>160617U</v>
          </cell>
          <cell r="B540" t="str">
            <v>LUVA DE FERRO GALVANIZADO D= 3"</v>
          </cell>
          <cell r="C540" t="str">
            <v>un</v>
          </cell>
          <cell r="D540">
            <v>47.79</v>
          </cell>
        </row>
        <row r="541">
          <cell r="A541" t="str">
            <v>160618U</v>
          </cell>
          <cell r="B541" t="str">
            <v>LUVA DE FERRO GALVANIZADO D= 4"</v>
          </cell>
          <cell r="C541" t="str">
            <v>un</v>
          </cell>
          <cell r="D541">
            <v>68.58</v>
          </cell>
        </row>
        <row r="542">
          <cell r="A542" t="str">
            <v>160619U</v>
          </cell>
          <cell r="B542" t="str">
            <v>COTOVELO 90 DE FERRO GALVANIZADO D= 1/2"</v>
          </cell>
          <cell r="C542" t="str">
            <v>un</v>
          </cell>
          <cell r="D542">
            <v>5.05</v>
          </cell>
        </row>
        <row r="543">
          <cell r="A543" t="str">
            <v>160620U</v>
          </cell>
          <cell r="B543" t="str">
            <v>COTOVELO 90 DE FERRO GALVANIZADO D= 3/4"</v>
          </cell>
          <cell r="C543" t="str">
            <v>un</v>
          </cell>
          <cell r="D543">
            <v>9.24</v>
          </cell>
        </row>
        <row r="544">
          <cell r="A544" t="str">
            <v>160621U</v>
          </cell>
          <cell r="B544" t="str">
            <v>COTOVELO 90 DE FERRO GALVANIZADO D= 1"</v>
          </cell>
          <cell r="C544" t="str">
            <v>un</v>
          </cell>
          <cell r="D544">
            <v>10.68</v>
          </cell>
        </row>
        <row r="545">
          <cell r="A545" t="str">
            <v>160622U</v>
          </cell>
          <cell r="B545" t="str">
            <v>COTOVELO 90 DE FERRO GALVANIZADO D= 11/4"</v>
          </cell>
          <cell r="C545" t="str">
            <v>un</v>
          </cell>
          <cell r="D545">
            <v>17.97</v>
          </cell>
        </row>
        <row r="546">
          <cell r="A546" t="str">
            <v>160623U</v>
          </cell>
          <cell r="B546" t="str">
            <v>COTOVELO 90 DE FERRO GALVANIZADO D= 11/2"</v>
          </cell>
          <cell r="C546" t="str">
            <v>un</v>
          </cell>
          <cell r="D546">
            <v>21.44</v>
          </cell>
        </row>
        <row r="547">
          <cell r="A547" t="str">
            <v>160624U</v>
          </cell>
          <cell r="B547" t="str">
            <v>COTOVELO 90 DE FERRO GALVANIZADO D= 2"</v>
          </cell>
          <cell r="C547" t="str">
            <v>un</v>
          </cell>
          <cell r="D547">
            <v>29.6</v>
          </cell>
        </row>
        <row r="548">
          <cell r="A548" t="str">
            <v>160625U</v>
          </cell>
          <cell r="B548" t="str">
            <v>COTOVELO 90 DE FERRO GALVANIZADO D= 21/2"</v>
          </cell>
          <cell r="C548" t="str">
            <v>un</v>
          </cell>
          <cell r="D548">
            <v>46.78</v>
          </cell>
        </row>
        <row r="549">
          <cell r="A549" t="str">
            <v>160626U</v>
          </cell>
          <cell r="B549" t="str">
            <v>COTOVELO 90 DE FERRO GALVANIZADO D= 3"</v>
          </cell>
          <cell r="C549" t="str">
            <v>un</v>
          </cell>
          <cell r="D549">
            <v>59.63</v>
          </cell>
        </row>
        <row r="550">
          <cell r="A550" t="str">
            <v>160627U</v>
          </cell>
          <cell r="B550" t="str">
            <v>COTOVELO 90 DE FERRO GALVANIZADO D= 4"</v>
          </cell>
          <cell r="C550" t="str">
            <v>un</v>
          </cell>
          <cell r="D550">
            <v>100.63</v>
          </cell>
        </row>
        <row r="551">
          <cell r="A551" t="str">
            <v>160628U</v>
          </cell>
          <cell r="B551" t="str">
            <v>COTOVELO 45 DE FERRO GALVANIZADO D= 1/2"</v>
          </cell>
          <cell r="C551" t="str">
            <v>un</v>
          </cell>
          <cell r="D551">
            <v>6.06</v>
          </cell>
        </row>
        <row r="552">
          <cell r="A552" t="str">
            <v>160629U</v>
          </cell>
          <cell r="B552" t="str">
            <v>COTOVELO 45 DE FERRO GALVANIZADO D= 3/4"</v>
          </cell>
          <cell r="C552" t="str">
            <v>un</v>
          </cell>
          <cell r="D552">
            <v>10.83</v>
          </cell>
        </row>
        <row r="553">
          <cell r="A553" t="str">
            <v>160630U</v>
          </cell>
          <cell r="B553" t="str">
            <v>COTOVELO 45 DE FERRO GALVANIZADO D= 1"</v>
          </cell>
          <cell r="C553" t="str">
            <v>un</v>
          </cell>
          <cell r="D553">
            <v>12.7</v>
          </cell>
        </row>
        <row r="554">
          <cell r="A554" t="str">
            <v>160631U</v>
          </cell>
          <cell r="B554" t="str">
            <v>COTOVELO 45 DE FERRO GALVANIZADO D= 11/4"</v>
          </cell>
          <cell r="C554" t="str">
            <v>un</v>
          </cell>
          <cell r="D554">
            <v>21.58</v>
          </cell>
        </row>
        <row r="555">
          <cell r="A555" t="str">
            <v>160632U</v>
          </cell>
          <cell r="B555" t="str">
            <v>COTOVELO 45 DE FERRO GALVANIZADO D= 11/2"</v>
          </cell>
          <cell r="C555" t="str">
            <v>un</v>
          </cell>
          <cell r="D555">
            <v>24.62</v>
          </cell>
        </row>
        <row r="556">
          <cell r="A556" t="str">
            <v>160633U</v>
          </cell>
          <cell r="B556" t="str">
            <v>COTOVELO 45 DE FERRO GALVANIZADO D= 2"</v>
          </cell>
          <cell r="C556" t="str">
            <v>un</v>
          </cell>
          <cell r="D556">
            <v>30.03</v>
          </cell>
        </row>
        <row r="557">
          <cell r="A557" t="str">
            <v>160634U</v>
          </cell>
          <cell r="B557" t="str">
            <v>COTOVELO 45 DE FERRO GALVANIZADO D= 21/2"</v>
          </cell>
          <cell r="C557" t="str">
            <v>un</v>
          </cell>
          <cell r="D557">
            <v>48.51</v>
          </cell>
        </row>
        <row r="558">
          <cell r="A558" t="str">
            <v>160635U</v>
          </cell>
          <cell r="B558" t="str">
            <v>COTOVELO 45 DE FERRO GALVANIZADO D= 3"</v>
          </cell>
          <cell r="C558" t="str">
            <v>un</v>
          </cell>
          <cell r="D558">
            <v>58.18</v>
          </cell>
        </row>
        <row r="559">
          <cell r="A559" t="str">
            <v>160636U</v>
          </cell>
          <cell r="B559" t="str">
            <v>COTOVELO 45 DE FERRO GALVANIZADO D= 4"</v>
          </cell>
          <cell r="C559" t="str">
            <v>un</v>
          </cell>
          <cell r="D559">
            <v>103.66</v>
          </cell>
        </row>
        <row r="560">
          <cell r="A560" t="str">
            <v>160637U</v>
          </cell>
          <cell r="B560" t="str">
            <v>BUCHA REDUCAO DE FERRO GALVANIZADO D= 3/4" X 1/2"</v>
          </cell>
          <cell r="C560" t="str">
            <v>un</v>
          </cell>
          <cell r="D560">
            <v>6.28</v>
          </cell>
        </row>
        <row r="561">
          <cell r="A561" t="str">
            <v>160638U</v>
          </cell>
          <cell r="B561" t="str">
            <v>BUCHA REDUCAO DE FERRO GALVANIZADO D= 1" X 1/2"</v>
          </cell>
          <cell r="C561" t="str">
            <v>un</v>
          </cell>
          <cell r="D561">
            <v>7.72</v>
          </cell>
        </row>
        <row r="562">
          <cell r="A562" t="str">
            <v>160639U</v>
          </cell>
          <cell r="B562" t="str">
            <v>BUCHA REDUCAO DE FERRO GALVANIZADO D= 1" X 3/4"</v>
          </cell>
          <cell r="C562" t="str">
            <v>un</v>
          </cell>
          <cell r="D562">
            <v>9.1</v>
          </cell>
        </row>
        <row r="563">
          <cell r="A563" t="str">
            <v>160640U</v>
          </cell>
          <cell r="B563" t="str">
            <v>BUCHA REDUCAO DE FERRO GALVANIZADO D= 11/4" X 1"</v>
          </cell>
          <cell r="C563" t="str">
            <v>un</v>
          </cell>
          <cell r="D563">
            <v>12.46</v>
          </cell>
        </row>
        <row r="564">
          <cell r="A564" t="str">
            <v>160641U</v>
          </cell>
          <cell r="B564" t="str">
            <v>BUCHA REDUCAO DE FERRO GALVANIZADO D= 11/2" X 1"</v>
          </cell>
          <cell r="C564" t="str">
            <v>un</v>
          </cell>
          <cell r="D564">
            <v>15.5</v>
          </cell>
        </row>
        <row r="565">
          <cell r="A565" t="str">
            <v>160642U</v>
          </cell>
          <cell r="B565" t="str">
            <v>BUCHA REDUCAO DE FERRO GALVANIZADO D=11/2" X 11/4"</v>
          </cell>
          <cell r="C565" t="str">
            <v>un</v>
          </cell>
          <cell r="D565">
            <v>15.5</v>
          </cell>
        </row>
        <row r="566">
          <cell r="A566" t="str">
            <v>160643U</v>
          </cell>
          <cell r="B566" t="str">
            <v>BUCHA REDUCAO DE FERRO GALVANIZADO D= 2" X 1"</v>
          </cell>
          <cell r="C566" t="str">
            <v>un</v>
          </cell>
          <cell r="D566">
            <v>19.13</v>
          </cell>
        </row>
        <row r="567">
          <cell r="A567" t="str">
            <v>160644U</v>
          </cell>
          <cell r="B567" t="str">
            <v>BUCHA REDUCAO DE FERRO GALVANIZADO D= 2" X 11/4"</v>
          </cell>
          <cell r="C567" t="str">
            <v>un</v>
          </cell>
          <cell r="D567">
            <v>19.13</v>
          </cell>
        </row>
        <row r="568">
          <cell r="A568" t="str">
            <v>160645U</v>
          </cell>
          <cell r="B568" t="str">
            <v>BUCHA REDUCAO DE FERRO GALVANIZADO D= 2" X 11/2"</v>
          </cell>
          <cell r="C568" t="str">
            <v>un</v>
          </cell>
          <cell r="D568">
            <v>19.13</v>
          </cell>
        </row>
        <row r="569">
          <cell r="A569" t="str">
            <v>160646U</v>
          </cell>
          <cell r="B569" t="str">
            <v>BUCHA REDUCAO DE FERRO GALVANIZADO D=21/2" X 11/2"</v>
          </cell>
          <cell r="C569" t="str">
            <v>un</v>
          </cell>
          <cell r="D569">
            <v>25.7</v>
          </cell>
        </row>
        <row r="570">
          <cell r="A570" t="str">
            <v>160647U</v>
          </cell>
          <cell r="B570" t="str">
            <v>BUCHA REDUCAO DE FERRO GALVANIZADO D= 21/2" X 2"</v>
          </cell>
          <cell r="C570" t="str">
            <v>un</v>
          </cell>
          <cell r="D570">
            <v>25.7</v>
          </cell>
        </row>
        <row r="571">
          <cell r="A571" t="str">
            <v>160648U</v>
          </cell>
          <cell r="B571" t="str">
            <v>BUCHA REDUCAO DE FERRO GALVANIZADO D= 3" X 2"</v>
          </cell>
          <cell r="C571" t="str">
            <v>un</v>
          </cell>
          <cell r="D571">
            <v>26.71</v>
          </cell>
        </row>
        <row r="572">
          <cell r="A572" t="str">
            <v>160649U</v>
          </cell>
          <cell r="B572" t="str">
            <v>BUCHA REDUCAO DE FERRO GALVANIZADO D= 3" X 21/2"</v>
          </cell>
          <cell r="C572" t="str">
            <v>un</v>
          </cell>
          <cell r="D572">
            <v>26.71</v>
          </cell>
        </row>
        <row r="573">
          <cell r="A573" t="str">
            <v>160650U</v>
          </cell>
          <cell r="B573" t="str">
            <v>BUCHA REDUCAO DE FERRO GALVANIZADO D= 4" X 2"</v>
          </cell>
          <cell r="C573" t="str">
            <v>un</v>
          </cell>
          <cell r="D573">
            <v>49.81</v>
          </cell>
        </row>
        <row r="574">
          <cell r="A574" t="str">
            <v>160651U</v>
          </cell>
          <cell r="B574" t="str">
            <v>BUCHA REDUCAO DE FERRO GALVANIZADO D= 4" X 21/2"</v>
          </cell>
          <cell r="C574" t="str">
            <v>un</v>
          </cell>
          <cell r="D574">
            <v>49.81</v>
          </cell>
        </row>
        <row r="575">
          <cell r="A575" t="str">
            <v>160652U</v>
          </cell>
          <cell r="B575" t="str">
            <v>BUCHA REDUCAO DE FERRO GALVANIZADO D= 4" X 3"</v>
          </cell>
          <cell r="C575" t="str">
            <v>un</v>
          </cell>
          <cell r="D575">
            <v>49.81</v>
          </cell>
        </row>
        <row r="576">
          <cell r="A576" t="str">
            <v>160653U</v>
          </cell>
          <cell r="B576" t="str">
            <v>NIPLE LONGO DE FERRO GALVANIZADO D= 1/2"</v>
          </cell>
          <cell r="C576" t="str">
            <v>un</v>
          </cell>
          <cell r="D576">
            <v>7.36</v>
          </cell>
        </row>
        <row r="577">
          <cell r="A577" t="str">
            <v>160654U</v>
          </cell>
          <cell r="B577" t="str">
            <v>NIPLE LONGO DE FERRO GALVANIZADO D= 3/4"</v>
          </cell>
          <cell r="C577" t="str">
            <v>un</v>
          </cell>
          <cell r="D577">
            <v>13.72</v>
          </cell>
        </row>
        <row r="578">
          <cell r="A578" t="str">
            <v>160655U</v>
          </cell>
          <cell r="B578" t="str">
            <v>NIPLE LONGO DE FERRO GALVANIZADO D= 1"</v>
          </cell>
          <cell r="C578" t="str">
            <v>un</v>
          </cell>
          <cell r="D578">
            <v>35.520000000000003</v>
          </cell>
        </row>
        <row r="579">
          <cell r="A579" t="str">
            <v>160656U</v>
          </cell>
          <cell r="B579" t="str">
            <v>NIPLE LONGO DE FERRO GALVANIZADO D= 11/4"</v>
          </cell>
          <cell r="C579" t="str">
            <v>un</v>
          </cell>
          <cell r="D579">
            <v>50.98</v>
          </cell>
        </row>
        <row r="580">
          <cell r="A580" t="str">
            <v>160657U</v>
          </cell>
          <cell r="B580" t="str">
            <v>NIPLE LONGO DE FERRO GALVANIZADO D= 11/2"</v>
          </cell>
          <cell r="C580" t="str">
            <v>un</v>
          </cell>
          <cell r="D580">
            <v>57.47</v>
          </cell>
        </row>
        <row r="581">
          <cell r="A581" t="str">
            <v>160658U</v>
          </cell>
          <cell r="B581" t="str">
            <v>NIPLE LONGO DE FERRO GALVANIZADO D= 2"</v>
          </cell>
          <cell r="C581" t="str">
            <v>un</v>
          </cell>
          <cell r="D581">
            <v>69.02</v>
          </cell>
        </row>
        <row r="582">
          <cell r="A582" t="str">
            <v>160659U</v>
          </cell>
          <cell r="B582" t="str">
            <v>NIPLE LONGO DE FERRO GALVANIZADO D= 21/2"</v>
          </cell>
          <cell r="C582" t="str">
            <v>un</v>
          </cell>
          <cell r="D582">
            <v>88.22</v>
          </cell>
        </row>
        <row r="583">
          <cell r="A583" t="str">
            <v>160660U</v>
          </cell>
          <cell r="B583" t="str">
            <v>NIPLE LONGO DE FERRO GALVANIZADO D= 3"</v>
          </cell>
          <cell r="C583" t="str">
            <v>un</v>
          </cell>
          <cell r="D583">
            <v>102.08</v>
          </cell>
        </row>
        <row r="584">
          <cell r="A584" t="str">
            <v>160661U</v>
          </cell>
          <cell r="B584" t="str">
            <v>NIPLE LONGO DE FERRO GALVANIZADO D= 4"</v>
          </cell>
          <cell r="C584" t="str">
            <v>un</v>
          </cell>
          <cell r="D584">
            <v>125.62</v>
          </cell>
        </row>
        <row r="585">
          <cell r="A585" t="str">
            <v>160662U</v>
          </cell>
          <cell r="B585" t="str">
            <v>UNIAO DE FERRO GALVANIZADO D= 1/2"</v>
          </cell>
          <cell r="C585" t="str">
            <v>un</v>
          </cell>
          <cell r="D585">
            <v>14.29</v>
          </cell>
        </row>
        <row r="586">
          <cell r="A586" t="str">
            <v>160663U</v>
          </cell>
          <cell r="B586" t="str">
            <v>UNIAO DE FERRO GALVANIZADO D= 3/4"</v>
          </cell>
          <cell r="C586" t="str">
            <v>un</v>
          </cell>
          <cell r="D586">
            <v>23.68</v>
          </cell>
        </row>
        <row r="587">
          <cell r="A587" t="str">
            <v>160664U</v>
          </cell>
          <cell r="B587" t="str">
            <v>UNIAO DE FERRO GALVANIZADO D= 1"</v>
          </cell>
          <cell r="C587" t="str">
            <v>un</v>
          </cell>
          <cell r="D587">
            <v>24.83</v>
          </cell>
        </row>
        <row r="588">
          <cell r="A588" t="str">
            <v>160665U</v>
          </cell>
          <cell r="B588" t="str">
            <v>UNIAO DE FERRO GALVANIZADO D= 11/4"</v>
          </cell>
          <cell r="C588" t="str">
            <v>un</v>
          </cell>
          <cell r="D588">
            <v>41.88</v>
          </cell>
        </row>
        <row r="589">
          <cell r="A589" t="str">
            <v>160666U</v>
          </cell>
          <cell r="B589" t="str">
            <v>UNIAO DE FERRO GALVANIZADO D= 11/2"</v>
          </cell>
          <cell r="C589" t="str">
            <v>un</v>
          </cell>
          <cell r="D589">
            <v>45.06</v>
          </cell>
        </row>
        <row r="590">
          <cell r="A590" t="str">
            <v>160667U</v>
          </cell>
          <cell r="B590" t="str">
            <v>UNIAO DE FERRO GALVANIZADO D= 2"</v>
          </cell>
          <cell r="C590" t="str">
            <v>un</v>
          </cell>
          <cell r="D590">
            <v>57.04</v>
          </cell>
        </row>
        <row r="591">
          <cell r="A591" t="str">
            <v>160668U</v>
          </cell>
          <cell r="B591" t="str">
            <v>UNIAO DE FERRO GALVANIZADO D= 21/2"</v>
          </cell>
          <cell r="C591" t="str">
            <v>un</v>
          </cell>
          <cell r="D591">
            <v>80.569999999999993</v>
          </cell>
        </row>
        <row r="592">
          <cell r="A592" t="str">
            <v>160669U</v>
          </cell>
          <cell r="B592" t="str">
            <v>UNIAO DE FERRO GALVANIZADO D= 3"</v>
          </cell>
          <cell r="C592" t="str">
            <v>un</v>
          </cell>
          <cell r="D592">
            <v>110.89</v>
          </cell>
        </row>
        <row r="593">
          <cell r="A593" t="str">
            <v>160670U</v>
          </cell>
          <cell r="B593" t="str">
            <v>UNIAO DE FERRO GALVANIZADO D= 4"</v>
          </cell>
          <cell r="C593" t="str">
            <v>un</v>
          </cell>
          <cell r="D593">
            <v>164.6</v>
          </cell>
        </row>
        <row r="594">
          <cell r="A594" t="str">
            <v>160671U</v>
          </cell>
          <cell r="B594" t="str">
            <v>FLANGE C/ SEXTAVADO FERRO GALVANIZADO D= 3/4"</v>
          </cell>
          <cell r="C594" t="str">
            <v>un</v>
          </cell>
          <cell r="D594">
            <v>9.9600000000000009</v>
          </cell>
        </row>
        <row r="595">
          <cell r="A595" t="str">
            <v>160672U</v>
          </cell>
          <cell r="B595" t="str">
            <v>FLANGE C/ SEXTAVADO FERRO GALVANIZADO D= 1"</v>
          </cell>
          <cell r="C595" t="str">
            <v>un</v>
          </cell>
          <cell r="D595">
            <v>10.83</v>
          </cell>
        </row>
        <row r="596">
          <cell r="A596" t="str">
            <v>160673U</v>
          </cell>
          <cell r="B596" t="str">
            <v>FLANGE C/ SEXTAVADO FERRO GALVANIZADO D= 11/4"</v>
          </cell>
          <cell r="C596" t="str">
            <v>un</v>
          </cell>
          <cell r="D596">
            <v>16.670000000000002</v>
          </cell>
        </row>
        <row r="597">
          <cell r="A597" t="str">
            <v>160674U</v>
          </cell>
          <cell r="B597" t="str">
            <v>FLANGE C/ SEXTAVADO FERRO GALVANIZADO D= 11/2"</v>
          </cell>
          <cell r="C597" t="str">
            <v>un</v>
          </cell>
          <cell r="D597">
            <v>18.98</v>
          </cell>
        </row>
        <row r="598">
          <cell r="A598" t="str">
            <v>160675U</v>
          </cell>
          <cell r="B598" t="str">
            <v>FLANGE C/ SEXTAVADO FERRO GALVANIZADO D= 2"</v>
          </cell>
          <cell r="C598" t="str">
            <v>un</v>
          </cell>
          <cell r="D598">
            <v>21.87</v>
          </cell>
        </row>
        <row r="599">
          <cell r="A599" t="str">
            <v>160676U</v>
          </cell>
          <cell r="B599" t="str">
            <v>FLANGE C/ SEXTAVADO FERRO GALVANIZADO D= 21/2"</v>
          </cell>
          <cell r="C599" t="str">
            <v>un</v>
          </cell>
          <cell r="D599">
            <v>27.86</v>
          </cell>
        </row>
        <row r="600">
          <cell r="A600" t="str">
            <v>160677U</v>
          </cell>
          <cell r="B600" t="str">
            <v>FLANGE C/ SEXTAVADO FERRO GALVANIZADO D= 3"</v>
          </cell>
          <cell r="C600" t="str">
            <v>un</v>
          </cell>
          <cell r="D600">
            <v>35.08</v>
          </cell>
        </row>
        <row r="601">
          <cell r="A601" t="str">
            <v>160678U</v>
          </cell>
          <cell r="B601" t="str">
            <v>FLANGE C/ SEXTAVADO FERRO GALVANIZADO D= 4"</v>
          </cell>
          <cell r="C601" t="str">
            <v>un</v>
          </cell>
          <cell r="D601">
            <v>43.02</v>
          </cell>
        </row>
        <row r="602">
          <cell r="A602" t="str">
            <v>160679U</v>
          </cell>
          <cell r="B602" t="str">
            <v>TE FERRO GALVANIZADO D= 3/4"</v>
          </cell>
          <cell r="C602" t="str">
            <v>un</v>
          </cell>
          <cell r="D602">
            <v>9.49</v>
          </cell>
        </row>
        <row r="603">
          <cell r="A603" t="str">
            <v>160680U</v>
          </cell>
          <cell r="B603" t="str">
            <v>TE FERRO GALVANIZADO D= 1"</v>
          </cell>
          <cell r="C603" t="str">
            <v>un</v>
          </cell>
          <cell r="D603">
            <v>11.51</v>
          </cell>
        </row>
        <row r="604">
          <cell r="A604" t="str">
            <v>160681U</v>
          </cell>
          <cell r="B604" t="str">
            <v>TE FERRO GALVANIZADO D= 11/4"</v>
          </cell>
          <cell r="C604" t="str">
            <v>un</v>
          </cell>
          <cell r="D604">
            <v>19.23</v>
          </cell>
        </row>
        <row r="605">
          <cell r="A605" t="str">
            <v>160682U</v>
          </cell>
          <cell r="B605" t="str">
            <v>TE FERRO GALVANIZADO D= 11/2"</v>
          </cell>
          <cell r="C605" t="str">
            <v>un</v>
          </cell>
          <cell r="D605">
            <v>19.95</v>
          </cell>
        </row>
        <row r="606">
          <cell r="A606" t="str">
            <v>160683U</v>
          </cell>
          <cell r="B606" t="str">
            <v>TE FERRO GALVANIZADO D= 2"</v>
          </cell>
          <cell r="C606" t="str">
            <v>un</v>
          </cell>
          <cell r="D606">
            <v>27.45</v>
          </cell>
        </row>
        <row r="607">
          <cell r="A607" t="str">
            <v>160684U</v>
          </cell>
          <cell r="B607" t="str">
            <v>TE FERRO GALVANIZADO D= 21/2"</v>
          </cell>
          <cell r="C607" t="str">
            <v>un</v>
          </cell>
          <cell r="D607">
            <v>41.06</v>
          </cell>
        </row>
        <row r="608">
          <cell r="A608" t="str">
            <v>160685U</v>
          </cell>
          <cell r="B608" t="str">
            <v>TE FERRO GALVANIZADO D= 3"</v>
          </cell>
          <cell r="C608" t="str">
            <v>un</v>
          </cell>
          <cell r="D608">
            <v>48.42</v>
          </cell>
        </row>
        <row r="609">
          <cell r="A609" t="str">
            <v>160686U</v>
          </cell>
          <cell r="B609" t="str">
            <v>TE FERRO GALVANIZADO D= 4"</v>
          </cell>
          <cell r="C609" t="str">
            <v>un</v>
          </cell>
          <cell r="D609">
            <v>79.89</v>
          </cell>
        </row>
        <row r="610">
          <cell r="A610" t="str">
            <v>160687U</v>
          </cell>
          <cell r="B610" t="str">
            <v>VALVULA DE RETENCAO HORIZONTAL D= 3/4"</v>
          </cell>
          <cell r="C610" t="str">
            <v>un</v>
          </cell>
          <cell r="D610">
            <v>62.97</v>
          </cell>
        </row>
        <row r="611">
          <cell r="A611" t="str">
            <v>160688U</v>
          </cell>
          <cell r="B611" t="str">
            <v>VALVULA DE RETENCAO HORIZONTAL D= 1"</v>
          </cell>
          <cell r="C611" t="str">
            <v>un</v>
          </cell>
          <cell r="D611">
            <v>71.31</v>
          </cell>
        </row>
        <row r="612">
          <cell r="A612" t="str">
            <v>160689U</v>
          </cell>
          <cell r="B612" t="str">
            <v>VALVULA DE RETENCAO HORIZONTAL D= 11/4"</v>
          </cell>
          <cell r="C612" t="str">
            <v>un</v>
          </cell>
          <cell r="D612">
            <v>100.07</v>
          </cell>
        </row>
        <row r="613">
          <cell r="A613" t="str">
            <v>160690U</v>
          </cell>
          <cell r="B613" t="str">
            <v>VALVULA DE RETENCAO HORIZONTAL D= 11/2"</v>
          </cell>
          <cell r="C613" t="str">
            <v>un</v>
          </cell>
          <cell r="D613">
            <v>112.77</v>
          </cell>
        </row>
        <row r="614">
          <cell r="A614" t="str">
            <v>160691U</v>
          </cell>
          <cell r="B614" t="str">
            <v>VALVULA DE RETENCAO HORIZONTAL D= 2"</v>
          </cell>
          <cell r="C614" t="str">
            <v>un</v>
          </cell>
          <cell r="D614">
            <v>139.16999999999999</v>
          </cell>
        </row>
        <row r="615">
          <cell r="A615" t="str">
            <v>160692U</v>
          </cell>
          <cell r="B615" t="str">
            <v>VALVULA DE RETENCAO HORIZONTAL D= 21/2"</v>
          </cell>
          <cell r="C615" t="str">
            <v>un</v>
          </cell>
          <cell r="D615">
            <v>201.35</v>
          </cell>
        </row>
        <row r="616">
          <cell r="A616" t="str">
            <v>160693U</v>
          </cell>
          <cell r="B616" t="str">
            <v>VALVULA DE RETENCAO HORIZONTAL D= 4"</v>
          </cell>
          <cell r="C616" t="str">
            <v>un</v>
          </cell>
          <cell r="D616">
            <v>411.58</v>
          </cell>
        </row>
        <row r="617">
          <cell r="A617" t="str">
            <v>160694U</v>
          </cell>
          <cell r="B617" t="str">
            <v>VALVULA DE RETENCAO VERTICAL D= 3/4"</v>
          </cell>
          <cell r="C617" t="str">
            <v>un</v>
          </cell>
          <cell r="D617">
            <v>37.340000000000003</v>
          </cell>
        </row>
        <row r="618">
          <cell r="A618" t="str">
            <v>160695U</v>
          </cell>
          <cell r="B618" t="str">
            <v>VALVULA DE RETENCAO VERTICAL D= 1"</v>
          </cell>
          <cell r="C618" t="str">
            <v>un</v>
          </cell>
          <cell r="D618">
            <v>40.119999999999997</v>
          </cell>
        </row>
        <row r="619">
          <cell r="A619" t="str">
            <v>160696U</v>
          </cell>
          <cell r="B619" t="str">
            <v>VALVULA DE RETENCAO VERTICAL D= 11/4"</v>
          </cell>
          <cell r="C619" t="str">
            <v>un</v>
          </cell>
          <cell r="D619">
            <v>59.51</v>
          </cell>
        </row>
        <row r="620">
          <cell r="A620" t="str">
            <v>160697U</v>
          </cell>
          <cell r="B620" t="str">
            <v>VALVULA DE RETENCAO VERTICAL D= 11/2"</v>
          </cell>
          <cell r="C620" t="str">
            <v>un</v>
          </cell>
          <cell r="D620">
            <v>63.1</v>
          </cell>
        </row>
        <row r="621">
          <cell r="A621" t="str">
            <v>160698U</v>
          </cell>
          <cell r="B621" t="str">
            <v>VALVULA DE RETENCAO VERTICAL D= 2"</v>
          </cell>
          <cell r="C621" t="str">
            <v>un</v>
          </cell>
          <cell r="D621">
            <v>79.040000000000006</v>
          </cell>
        </row>
        <row r="622">
          <cell r="A622" t="str">
            <v>160699U</v>
          </cell>
          <cell r="B622" t="str">
            <v>VALVULA DE RETENCAO VERTICAL D= 21/2"</v>
          </cell>
          <cell r="C622" t="str">
            <v>un</v>
          </cell>
          <cell r="D622">
            <v>123.68</v>
          </cell>
        </row>
        <row r="623">
          <cell r="A623">
            <v>160700</v>
          </cell>
          <cell r="B623" t="str">
            <v>CAIXAS D'ÁGUA</v>
          </cell>
        </row>
        <row r="624">
          <cell r="A624" t="str">
            <v>160701U</v>
          </cell>
          <cell r="B624" t="str">
            <v>CAIXA DAGUA DE FIBROCIMENTO CAPACIDADE 250 LITROS</v>
          </cell>
          <cell r="C624" t="str">
            <v>un</v>
          </cell>
          <cell r="D624">
            <v>165.91</v>
          </cell>
        </row>
        <row r="625">
          <cell r="A625" t="str">
            <v>160702U</v>
          </cell>
          <cell r="B625" t="str">
            <v>CAIXA DAGUA DE FIBROCIMENTO CAPACIDADE 500 LITROS</v>
          </cell>
          <cell r="C625" t="str">
            <v>un</v>
          </cell>
          <cell r="D625">
            <v>228.99</v>
          </cell>
        </row>
        <row r="626">
          <cell r="A626" t="str">
            <v>160703U</v>
          </cell>
          <cell r="B626" t="str">
            <v>CAIXA DAGUA DE FIBROCIMENTO CAPACIDADE 1000 LITROS</v>
          </cell>
          <cell r="C626" t="str">
            <v>un</v>
          </cell>
          <cell r="D626">
            <v>375.73</v>
          </cell>
        </row>
        <row r="627">
          <cell r="A627" t="str">
            <v>160704U</v>
          </cell>
          <cell r="B627" t="str">
            <v>CAIXA DAGUA PLASTICA CAPACIDADE 310 LITROS</v>
          </cell>
          <cell r="C627" t="str">
            <v>un</v>
          </cell>
          <cell r="D627">
            <v>200.17</v>
          </cell>
        </row>
        <row r="628">
          <cell r="A628" t="str">
            <v>160705U</v>
          </cell>
          <cell r="B628" t="str">
            <v>CAIXA DAGUA PLASTICA CAPACIDADE 500 LITROS</v>
          </cell>
          <cell r="C628" t="str">
            <v>un</v>
          </cell>
          <cell r="D628">
            <v>261.22000000000003</v>
          </cell>
        </row>
        <row r="629">
          <cell r="A629" t="str">
            <v>160706U</v>
          </cell>
          <cell r="B629" t="str">
            <v>CAIXA DAGUA PLASTICA CAPACIDADE 1000 LITROS</v>
          </cell>
          <cell r="C629" t="str">
            <v>un</v>
          </cell>
          <cell r="D629">
            <v>436.16</v>
          </cell>
        </row>
        <row r="630">
          <cell r="A630" t="str">
            <v>160707U</v>
          </cell>
          <cell r="B630" t="str">
            <v>CAIXA DAGUA FIBRA DE VIDRO CAPACIDADE 300 LITROS</v>
          </cell>
          <cell r="C630" t="str">
            <v>un</v>
          </cell>
          <cell r="D630">
            <v>228.56</v>
          </cell>
        </row>
        <row r="631">
          <cell r="A631" t="str">
            <v>160708U</v>
          </cell>
          <cell r="B631" t="str">
            <v>CAIXA DAGUA FIBRA DE VIDRO CAPACIDADE 500 LITROS</v>
          </cell>
          <cell r="C631" t="str">
            <v>un</v>
          </cell>
          <cell r="D631">
            <v>295.26</v>
          </cell>
        </row>
        <row r="632">
          <cell r="A632" t="str">
            <v>160709U</v>
          </cell>
          <cell r="B632" t="str">
            <v>CAIXA DAGUA FIBRA DE VIDRO CAPACIDADE 1000 LITROS</v>
          </cell>
          <cell r="C632" t="str">
            <v>un</v>
          </cell>
          <cell r="D632">
            <v>459.74</v>
          </cell>
        </row>
        <row r="633">
          <cell r="A633" t="str">
            <v>160710U</v>
          </cell>
          <cell r="B633" t="str">
            <v>CAIXA DAGUA FIBRA DE VIDRO CAPACIDADE 2000 LITROS</v>
          </cell>
          <cell r="C633" t="str">
            <v>un</v>
          </cell>
          <cell r="D633">
            <v>786.48</v>
          </cell>
        </row>
        <row r="634">
          <cell r="A634">
            <v>161000</v>
          </cell>
          <cell r="B634" t="str">
            <v>REDE DE ESGOTO</v>
          </cell>
        </row>
        <row r="635">
          <cell r="A635">
            <v>161100</v>
          </cell>
          <cell r="B635" t="str">
            <v>TUBOS E CONEXÕES DE PVC PARA ESGOTO</v>
          </cell>
        </row>
        <row r="636">
          <cell r="A636" t="str">
            <v>161101U</v>
          </cell>
          <cell r="B636" t="str">
            <v>TUBO PVC RIGIDO C/ PONTA E BOLSA 40 MM</v>
          </cell>
          <cell r="C636" t="str">
            <v>m</v>
          </cell>
          <cell r="D636">
            <v>6.48</v>
          </cell>
        </row>
        <row r="637">
          <cell r="A637" t="str">
            <v>161102U</v>
          </cell>
          <cell r="B637" t="str">
            <v>TUBO PVC RIGIDO C/ PONTA E BOLSA 50 MM</v>
          </cell>
          <cell r="C637" t="str">
            <v>m</v>
          </cell>
          <cell r="D637">
            <v>9.76</v>
          </cell>
        </row>
        <row r="638">
          <cell r="A638" t="str">
            <v>161103U</v>
          </cell>
          <cell r="B638" t="str">
            <v>TUBO PVC RIGIDO C/ PONTA E BOLSA 75 MM</v>
          </cell>
          <cell r="C638" t="str">
            <v>m</v>
          </cell>
          <cell r="D638">
            <v>13.78</v>
          </cell>
        </row>
        <row r="639">
          <cell r="A639" t="str">
            <v>161104U</v>
          </cell>
          <cell r="B639" t="str">
            <v>TUBO PVC RIGIDO C/ PONTA E BOLSA 100 MM</v>
          </cell>
          <cell r="C639" t="str">
            <v>m</v>
          </cell>
          <cell r="D639">
            <v>15.36</v>
          </cell>
        </row>
        <row r="640">
          <cell r="A640" t="str">
            <v>161105U</v>
          </cell>
          <cell r="B640" t="str">
            <v>ANEL DE BORRACHA 50 MM</v>
          </cell>
          <cell r="C640" t="str">
            <v>un</v>
          </cell>
          <cell r="D640">
            <v>0.84</v>
          </cell>
        </row>
        <row r="641">
          <cell r="A641" t="str">
            <v>161106U</v>
          </cell>
          <cell r="B641" t="str">
            <v>ANEL DE BORRACHA 75 MM</v>
          </cell>
          <cell r="C641" t="str">
            <v>un</v>
          </cell>
          <cell r="D641">
            <v>1.08</v>
          </cell>
        </row>
        <row r="642">
          <cell r="A642" t="str">
            <v>161107U</v>
          </cell>
          <cell r="B642" t="str">
            <v>ANEL DE BORRACHA 100 MM</v>
          </cell>
          <cell r="C642" t="str">
            <v>un</v>
          </cell>
          <cell r="D642">
            <v>1.44</v>
          </cell>
        </row>
        <row r="643">
          <cell r="A643" t="str">
            <v>161108U</v>
          </cell>
          <cell r="B643" t="str">
            <v>JOELHO 90 PVC 40 MM P/ ESGOTO</v>
          </cell>
          <cell r="C643" t="str">
            <v>un</v>
          </cell>
          <cell r="D643">
            <v>5.29</v>
          </cell>
        </row>
        <row r="644">
          <cell r="A644" t="str">
            <v>161109U</v>
          </cell>
          <cell r="B644" t="str">
            <v>JOELHO 90 PVC 50 MM P/ ESGOTO</v>
          </cell>
          <cell r="C644" t="str">
            <v>un</v>
          </cell>
          <cell r="D644">
            <v>6.16</v>
          </cell>
        </row>
        <row r="645">
          <cell r="A645" t="str">
            <v>161110U</v>
          </cell>
          <cell r="B645" t="str">
            <v>JOELHO 90 PVC 75 MM P/ ESGOTO</v>
          </cell>
          <cell r="C645" t="str">
            <v>un</v>
          </cell>
          <cell r="D645">
            <v>11.29</v>
          </cell>
        </row>
        <row r="646">
          <cell r="A646" t="str">
            <v>161111U</v>
          </cell>
          <cell r="B646" t="str">
            <v>JOELHO 90 PVC 100 MM P/ ESGOTO</v>
          </cell>
          <cell r="C646" t="str">
            <v>un</v>
          </cell>
          <cell r="D646">
            <v>15.39</v>
          </cell>
        </row>
        <row r="647">
          <cell r="A647" t="str">
            <v>161112U</v>
          </cell>
          <cell r="B647" t="str">
            <v>JOELHO 45 PVC 40 MM P/ ESGOTO</v>
          </cell>
          <cell r="C647" t="str">
            <v>un</v>
          </cell>
          <cell r="D647">
            <v>5.57</v>
          </cell>
        </row>
        <row r="648">
          <cell r="A648" t="str">
            <v>161113U</v>
          </cell>
          <cell r="B648" t="str">
            <v>JOELHO 45 PVC 50 MM P/ ESGOTO</v>
          </cell>
          <cell r="C648" t="str">
            <v>un</v>
          </cell>
          <cell r="D648">
            <v>6.52</v>
          </cell>
        </row>
        <row r="649">
          <cell r="A649" t="str">
            <v>161114U</v>
          </cell>
          <cell r="B649" t="str">
            <v>JOELHO 45 PVC 75 MM P/ ESGOTO</v>
          </cell>
          <cell r="C649" t="str">
            <v>un</v>
          </cell>
          <cell r="D649">
            <v>12.01</v>
          </cell>
        </row>
        <row r="650">
          <cell r="A650" t="str">
            <v>161115U</v>
          </cell>
          <cell r="B650" t="str">
            <v>JOELHO 45 PVC 100 MM P/ ESGOTO</v>
          </cell>
          <cell r="C650" t="str">
            <v>un</v>
          </cell>
          <cell r="D650">
            <v>15.63</v>
          </cell>
        </row>
        <row r="651">
          <cell r="A651" t="str">
            <v>161116U</v>
          </cell>
          <cell r="B651" t="str">
            <v>JOELHO 90 PVC C/ VISITA 75 X 50 MM ESGOTO</v>
          </cell>
          <cell r="C651" t="str">
            <v>un</v>
          </cell>
          <cell r="D651">
            <v>22.53</v>
          </cell>
        </row>
        <row r="652">
          <cell r="A652" t="str">
            <v>161117U</v>
          </cell>
          <cell r="B652" t="str">
            <v>JOELHO 90 PVC C/ VISITA 100 X 50 MM ESGOTO</v>
          </cell>
          <cell r="C652" t="str">
            <v>un</v>
          </cell>
          <cell r="D652">
            <v>24.94</v>
          </cell>
        </row>
        <row r="653">
          <cell r="A653" t="str">
            <v>161118U</v>
          </cell>
          <cell r="B653" t="str">
            <v>JOELHO 90 PVC C/ VISITA 100 X 75 MM ESGOTO</v>
          </cell>
          <cell r="C653" t="str">
            <v>un</v>
          </cell>
          <cell r="D653">
            <v>27.86</v>
          </cell>
        </row>
        <row r="654">
          <cell r="A654" t="str">
            <v>161119U</v>
          </cell>
          <cell r="B654" t="str">
            <v>JUNCAO SIMPLES 45 PVC 50 X 50 MM ESGOTO</v>
          </cell>
          <cell r="C654" t="str">
            <v>un</v>
          </cell>
          <cell r="D654">
            <v>12.95</v>
          </cell>
        </row>
        <row r="655">
          <cell r="A655" t="str">
            <v>161120U</v>
          </cell>
          <cell r="B655" t="str">
            <v>JUNCAO SIMPLES 45 PVC 75 X 50 MM ESGOTO</v>
          </cell>
          <cell r="C655" t="str">
            <v>un</v>
          </cell>
          <cell r="D655">
            <v>17.72</v>
          </cell>
        </row>
        <row r="656">
          <cell r="A656" t="str">
            <v>161121U</v>
          </cell>
          <cell r="B656" t="str">
            <v>JUNCAO SIMPLES 45 PVC 75 X 75 MM ESGOTO</v>
          </cell>
          <cell r="C656" t="str">
            <v>un</v>
          </cell>
          <cell r="D656">
            <v>20.9</v>
          </cell>
        </row>
        <row r="657">
          <cell r="A657" t="str">
            <v>161122U</v>
          </cell>
          <cell r="B657" t="str">
            <v>JUNCAO SIMPLES 45 PVC 100 X 50 MM ESGOTO</v>
          </cell>
          <cell r="C657" t="str">
            <v>un</v>
          </cell>
          <cell r="D657">
            <v>23.59</v>
          </cell>
        </row>
        <row r="658">
          <cell r="A658" t="str">
            <v>161123U</v>
          </cell>
          <cell r="B658" t="str">
            <v>JUNCAO SIMPLES 45 PVC 100 X 75 MM ESGOTO</v>
          </cell>
          <cell r="C658" t="str">
            <v>un</v>
          </cell>
          <cell r="D658">
            <v>27.5</v>
          </cell>
        </row>
        <row r="659">
          <cell r="A659" t="str">
            <v>161124U</v>
          </cell>
          <cell r="B659" t="str">
            <v>JUNCAO SIMPLES 45 PVC 100 X 100 MM ESGOTO</v>
          </cell>
          <cell r="C659" t="str">
            <v>un</v>
          </cell>
          <cell r="D659">
            <v>29.4</v>
          </cell>
        </row>
        <row r="660">
          <cell r="A660" t="str">
            <v>161125U</v>
          </cell>
          <cell r="B660" t="str">
            <v>JUNCAO INVERTIDA PVC 50 X 50 MM ESGOTO</v>
          </cell>
          <cell r="C660" t="str">
            <v>un</v>
          </cell>
          <cell r="D660">
            <v>13.79</v>
          </cell>
        </row>
        <row r="661">
          <cell r="A661" t="str">
            <v>161126U</v>
          </cell>
          <cell r="B661" t="str">
            <v>JUNCAO INVERTIDA PVC 75 X 75 MM ESGOTO</v>
          </cell>
          <cell r="C661" t="str">
            <v>un</v>
          </cell>
          <cell r="D661">
            <v>21.42</v>
          </cell>
        </row>
        <row r="662">
          <cell r="A662" t="str">
            <v>161127U</v>
          </cell>
          <cell r="B662" t="str">
            <v>JUNCAO INVERTIDA PVC 75 X 50 MM ESGOTO</v>
          </cell>
          <cell r="C662" t="str">
            <v>un</v>
          </cell>
          <cell r="D662">
            <v>18.68</v>
          </cell>
        </row>
        <row r="663">
          <cell r="A663" t="str">
            <v>161128U</v>
          </cell>
          <cell r="B663" t="str">
            <v>JUNCAO INVERTIDA PVC 100 X 50 MM ESGOTO</v>
          </cell>
          <cell r="C663" t="str">
            <v>un</v>
          </cell>
          <cell r="D663">
            <v>23.79</v>
          </cell>
        </row>
        <row r="664">
          <cell r="A664" t="str">
            <v>161129U</v>
          </cell>
          <cell r="B664" t="str">
            <v>LUVA SIMPLES PVC 40 MM ESGOTO</v>
          </cell>
          <cell r="C664" t="str">
            <v>un</v>
          </cell>
          <cell r="D664">
            <v>4.93</v>
          </cell>
        </row>
        <row r="665">
          <cell r="A665" t="str">
            <v>161130U</v>
          </cell>
          <cell r="B665" t="str">
            <v>LUVA SIMPLES PVC 50 MM ESGOTO</v>
          </cell>
          <cell r="C665" t="str">
            <v>un</v>
          </cell>
          <cell r="D665">
            <v>6.4</v>
          </cell>
        </row>
        <row r="666">
          <cell r="A666" t="str">
            <v>161131U</v>
          </cell>
          <cell r="B666" t="str">
            <v>LUVA SIMPLES PVC 75 MM ESGOTO</v>
          </cell>
          <cell r="C666" t="str">
            <v>un</v>
          </cell>
          <cell r="D666">
            <v>11.04</v>
          </cell>
        </row>
        <row r="667">
          <cell r="A667" t="str">
            <v>161132U</v>
          </cell>
          <cell r="B667" t="str">
            <v>LUVA SIMPLES PVC 100 MM ESGOTO</v>
          </cell>
          <cell r="C667" t="str">
            <v>un</v>
          </cell>
          <cell r="D667">
            <v>14.43</v>
          </cell>
        </row>
        <row r="668">
          <cell r="A668" t="str">
            <v>161133U</v>
          </cell>
          <cell r="B668" t="str">
            <v>LUVA DUPLA PVC 50 MM ESGOTO</v>
          </cell>
          <cell r="C668" t="str">
            <v>un</v>
          </cell>
          <cell r="D668">
            <v>9.77</v>
          </cell>
        </row>
        <row r="669">
          <cell r="A669" t="str">
            <v>161134U</v>
          </cell>
          <cell r="B669" t="str">
            <v>LUVA DUPLA PVC 75 MM ESGOTO</v>
          </cell>
          <cell r="C669" t="str">
            <v>un</v>
          </cell>
          <cell r="D669">
            <v>14.17</v>
          </cell>
        </row>
        <row r="670">
          <cell r="A670" t="str">
            <v>161135U</v>
          </cell>
          <cell r="B670" t="str">
            <v>LUVA DUPLA PVC 100 MM ESGOTO</v>
          </cell>
          <cell r="C670" t="str">
            <v>un</v>
          </cell>
          <cell r="D670">
            <v>19.36</v>
          </cell>
        </row>
        <row r="671">
          <cell r="A671" t="str">
            <v>161136U</v>
          </cell>
          <cell r="B671" t="str">
            <v>TE SANITARIO 90 PVC 40 X 40 MM</v>
          </cell>
          <cell r="C671" t="str">
            <v>un</v>
          </cell>
          <cell r="D671">
            <v>8.76</v>
          </cell>
        </row>
        <row r="672">
          <cell r="A672" t="str">
            <v>161137U</v>
          </cell>
          <cell r="B672" t="str">
            <v>TE SANITARIO 90 PVC 50 X 50 MM</v>
          </cell>
          <cell r="C672" t="str">
            <v>un</v>
          </cell>
          <cell r="D672">
            <v>11.62</v>
          </cell>
        </row>
        <row r="673">
          <cell r="A673" t="str">
            <v>161138U</v>
          </cell>
          <cell r="B673" t="str">
            <v>TE SANITARIO 90 PVC 75 X 50 MM</v>
          </cell>
          <cell r="C673" t="str">
            <v>un</v>
          </cell>
          <cell r="D673">
            <v>17.84</v>
          </cell>
        </row>
        <row r="674">
          <cell r="A674" t="str">
            <v>161139U</v>
          </cell>
          <cell r="B674" t="str">
            <v>TE SANITARIO 90 PVC 75 X 75 MM</v>
          </cell>
          <cell r="C674" t="str">
            <v>un</v>
          </cell>
          <cell r="D674">
            <v>20.18</v>
          </cell>
        </row>
        <row r="675">
          <cell r="A675" t="str">
            <v>161140U</v>
          </cell>
          <cell r="B675" t="str">
            <v>TE SANITARIO 90 PVC 100 X 50 MM</v>
          </cell>
          <cell r="C675" t="str">
            <v>un</v>
          </cell>
          <cell r="D675">
            <v>22.51</v>
          </cell>
        </row>
        <row r="676">
          <cell r="A676" t="str">
            <v>161141U</v>
          </cell>
          <cell r="B676" t="str">
            <v>TE SANITARIO 90 PVC 100 X 75 MM</v>
          </cell>
          <cell r="C676" t="str">
            <v>un</v>
          </cell>
          <cell r="D676">
            <v>23.53</v>
          </cell>
        </row>
        <row r="677">
          <cell r="A677" t="str">
            <v>161142U</v>
          </cell>
          <cell r="B677" t="str">
            <v>TE SANITARIO 90 PVC 100 X 100 MM</v>
          </cell>
          <cell r="C677" t="str">
            <v>un</v>
          </cell>
          <cell r="D677">
            <v>25.19</v>
          </cell>
        </row>
        <row r="678">
          <cell r="A678" t="str">
            <v>161143U</v>
          </cell>
          <cell r="B678" t="str">
            <v>BUCHA REDUCAO LONGA PVC 50 X 40 MM ESGOTO</v>
          </cell>
          <cell r="C678" t="str">
            <v>un</v>
          </cell>
          <cell r="D678">
            <v>5.73</v>
          </cell>
        </row>
        <row r="679">
          <cell r="A679" t="str">
            <v>161144U</v>
          </cell>
          <cell r="B679" t="str">
            <v>BUCHA REDUCAO LONGA PVC 75 X 50 MM ESGOTO</v>
          </cell>
          <cell r="C679" t="str">
            <v>un</v>
          </cell>
          <cell r="D679">
            <v>10.14</v>
          </cell>
        </row>
        <row r="680">
          <cell r="A680" t="str">
            <v>161145U</v>
          </cell>
          <cell r="B680" t="str">
            <v>REDUCAO EXCENTRICA PVC 75 X 50 MM ESGOTO</v>
          </cell>
          <cell r="C680" t="str">
            <v>un</v>
          </cell>
          <cell r="D680">
            <v>10.26</v>
          </cell>
        </row>
        <row r="681">
          <cell r="A681" t="str">
            <v>161146U</v>
          </cell>
          <cell r="B681" t="str">
            <v>REDUCAO EXCENTRICA PVC 100 X 50 MM ESGOTO</v>
          </cell>
          <cell r="C681" t="str">
            <v>un</v>
          </cell>
          <cell r="D681">
            <v>12.95</v>
          </cell>
        </row>
        <row r="682">
          <cell r="A682" t="str">
            <v>161147U</v>
          </cell>
          <cell r="B682" t="str">
            <v>REDUCAO EXCENTRICA PVC 100 X 75 MM ESGOTO</v>
          </cell>
          <cell r="C682" t="str">
            <v>un</v>
          </cell>
          <cell r="D682">
            <v>14.32</v>
          </cell>
        </row>
        <row r="683">
          <cell r="A683" t="str">
            <v>161148U</v>
          </cell>
          <cell r="B683" t="str">
            <v>PLUG PVC SOLDAVEL 50 MM ESGOTO</v>
          </cell>
          <cell r="C683" t="str">
            <v>un</v>
          </cell>
          <cell r="D683">
            <v>5.09</v>
          </cell>
        </row>
        <row r="684">
          <cell r="A684" t="str">
            <v>161149U</v>
          </cell>
          <cell r="B684" t="str">
            <v>PLUG PVC SOLDAVEL 75 MM ESGOTO</v>
          </cell>
          <cell r="C684" t="str">
            <v>un</v>
          </cell>
          <cell r="D684">
            <v>9.19</v>
          </cell>
        </row>
        <row r="685">
          <cell r="A685" t="str">
            <v>161150U</v>
          </cell>
          <cell r="B685" t="str">
            <v>PLUG PVC SOLDAVEL 100 MM ESGOTO</v>
          </cell>
          <cell r="C685" t="str">
            <v>un</v>
          </cell>
          <cell r="D685">
            <v>11.75</v>
          </cell>
        </row>
        <row r="686">
          <cell r="A686" t="str">
            <v>161151U</v>
          </cell>
          <cell r="B686" t="str">
            <v>CURVA LONGA 90 PVC 40 MM ESGOTO</v>
          </cell>
          <cell r="C686" t="str">
            <v>un</v>
          </cell>
          <cell r="D686">
            <v>6.86</v>
          </cell>
        </row>
        <row r="687">
          <cell r="A687" t="str">
            <v>161152U</v>
          </cell>
          <cell r="B687" t="str">
            <v>CURVA LONGA 90 PVC 50 MM ESGOTO</v>
          </cell>
          <cell r="C687" t="str">
            <v>un</v>
          </cell>
          <cell r="D687">
            <v>9.89</v>
          </cell>
        </row>
        <row r="688">
          <cell r="A688" t="str">
            <v>161153U</v>
          </cell>
          <cell r="B688" t="str">
            <v>CURVA LONGA 90 PVC 75 MM ESGOTO</v>
          </cell>
          <cell r="C688" t="str">
            <v>un</v>
          </cell>
          <cell r="D688">
            <v>21.63</v>
          </cell>
        </row>
        <row r="689">
          <cell r="A689" t="str">
            <v>161154U</v>
          </cell>
          <cell r="B689" t="str">
            <v>CURVA LONGA 90 PVC 100 MM ESGOTO</v>
          </cell>
          <cell r="C689" t="str">
            <v>un</v>
          </cell>
          <cell r="D689">
            <v>34.76</v>
          </cell>
        </row>
        <row r="690">
          <cell r="A690" t="str">
            <v>161155U</v>
          </cell>
          <cell r="B690" t="str">
            <v>CURVA LONGA 45 PVC 40 MM ESGOTO</v>
          </cell>
          <cell r="C690" t="str">
            <v>un</v>
          </cell>
          <cell r="D690">
            <v>6.02</v>
          </cell>
        </row>
        <row r="691">
          <cell r="A691" t="str">
            <v>161156U</v>
          </cell>
          <cell r="B691" t="str">
            <v>CURVA LONGA 45 PVC 50 MM ESGOTO</v>
          </cell>
          <cell r="C691" t="str">
            <v>un</v>
          </cell>
          <cell r="D691">
            <v>10.47</v>
          </cell>
        </row>
        <row r="692">
          <cell r="A692" t="str">
            <v>161157U</v>
          </cell>
          <cell r="B692" t="str">
            <v>CURVA LONGA 45 PVC 75 MM ESGOTO</v>
          </cell>
          <cell r="C692" t="str">
            <v>un</v>
          </cell>
          <cell r="D692">
            <v>20.97</v>
          </cell>
        </row>
        <row r="693">
          <cell r="A693" t="str">
            <v>161158U</v>
          </cell>
          <cell r="B693" t="str">
            <v>CURVA LONGA 45 PVC 100 MM ESGOTO</v>
          </cell>
          <cell r="C693" t="str">
            <v>un</v>
          </cell>
          <cell r="D693">
            <v>33.799999999999997</v>
          </cell>
        </row>
        <row r="694">
          <cell r="A694" t="str">
            <v>161159U</v>
          </cell>
          <cell r="B694" t="str">
            <v>CURVA CURTA 90 PVC 40 MM ESGOTO</v>
          </cell>
          <cell r="C694" t="str">
            <v>un</v>
          </cell>
          <cell r="D694">
            <v>6.38</v>
          </cell>
        </row>
        <row r="695">
          <cell r="A695" t="str">
            <v>161160U</v>
          </cell>
          <cell r="B695" t="str">
            <v>CURVA CURTA 90 PVC 50 MM ESGOTO</v>
          </cell>
          <cell r="C695" t="str">
            <v>un</v>
          </cell>
          <cell r="D695">
            <v>10.01</v>
          </cell>
        </row>
        <row r="696">
          <cell r="A696" t="str">
            <v>161161U</v>
          </cell>
          <cell r="B696" t="str">
            <v>CURVA CURTA 90 PVC 75 MM ESGOTO</v>
          </cell>
          <cell r="C696" t="str">
            <v>un</v>
          </cell>
          <cell r="D696">
            <v>18.739999999999998</v>
          </cell>
        </row>
        <row r="697">
          <cell r="A697" t="str">
            <v>161162U</v>
          </cell>
          <cell r="B697" t="str">
            <v>CURVA CURTA 90 PVC 100 MM ESGOTO</v>
          </cell>
          <cell r="C697" t="str">
            <v>un</v>
          </cell>
          <cell r="D697">
            <v>22.49</v>
          </cell>
        </row>
        <row r="698">
          <cell r="A698" t="str">
            <v>161163U</v>
          </cell>
          <cell r="B698" t="str">
            <v>CURVA CURTA 45 PVC 40 MM ESGOTO</v>
          </cell>
          <cell r="C698" t="str">
            <v>un</v>
          </cell>
          <cell r="D698">
            <v>6.7</v>
          </cell>
        </row>
        <row r="699">
          <cell r="A699" t="str">
            <v>161164U</v>
          </cell>
          <cell r="B699" t="str">
            <v>CURVA CURTA 45 PVC 100 MM ESGOTO</v>
          </cell>
          <cell r="C699" t="str">
            <v>un</v>
          </cell>
          <cell r="D699">
            <v>25.51</v>
          </cell>
        </row>
        <row r="700">
          <cell r="A700" t="str">
            <v>161165U</v>
          </cell>
          <cell r="B700" t="str">
            <v>CX. SIF. REDONDA C/ GRELHA CROMADA 100X100X40 MM</v>
          </cell>
          <cell r="C700" t="str">
            <v>un</v>
          </cell>
          <cell r="D700">
            <v>40.24</v>
          </cell>
        </row>
        <row r="701">
          <cell r="A701" t="str">
            <v>161166U</v>
          </cell>
          <cell r="B701" t="str">
            <v>CX. SIF. REDONDA C/ GRELHA CROMADA 100X100X50 MM</v>
          </cell>
          <cell r="C701" t="str">
            <v>un</v>
          </cell>
          <cell r="D701">
            <v>40</v>
          </cell>
        </row>
        <row r="702">
          <cell r="A702" t="str">
            <v>161167U</v>
          </cell>
          <cell r="B702" t="str">
            <v>CX. SIF. REDONDA C/ GRELHA CROMADA 100X150X50 MM</v>
          </cell>
          <cell r="C702" t="str">
            <v>un</v>
          </cell>
          <cell r="D702">
            <v>44.82</v>
          </cell>
        </row>
        <row r="703">
          <cell r="A703" t="str">
            <v>161168U</v>
          </cell>
          <cell r="B703" t="str">
            <v>CX. SIF. REDONDA C/ GRELHA CROMADA 150X150X50 MM</v>
          </cell>
          <cell r="C703" t="str">
            <v>un</v>
          </cell>
          <cell r="D703">
            <v>55.64</v>
          </cell>
        </row>
        <row r="704">
          <cell r="A704" t="str">
            <v>161169U</v>
          </cell>
          <cell r="B704" t="str">
            <v>CX. SIF. REDONDA C/ GRELHA CROMADA 150X185X75 MM</v>
          </cell>
          <cell r="C704" t="str">
            <v>un</v>
          </cell>
          <cell r="D704">
            <v>58.17</v>
          </cell>
        </row>
        <row r="705">
          <cell r="A705" t="str">
            <v>161170U</v>
          </cell>
          <cell r="B705" t="str">
            <v>CX. SIFONADA C/ TAMPA CEGA 150 X 150 X 50 MM</v>
          </cell>
          <cell r="C705" t="str">
            <v>un</v>
          </cell>
          <cell r="D705">
            <v>46.62</v>
          </cell>
        </row>
        <row r="706">
          <cell r="A706" t="str">
            <v>161171U</v>
          </cell>
          <cell r="B706" t="str">
            <v>CX. SIF. REDONDA C/ GRELHA CROMADA 150X185X50 MM</v>
          </cell>
          <cell r="C706" t="str">
            <v>un</v>
          </cell>
          <cell r="D706">
            <v>57.18</v>
          </cell>
        </row>
        <row r="707">
          <cell r="A707" t="str">
            <v>161172U</v>
          </cell>
          <cell r="B707" t="str">
            <v>CX. SIF. REDONDA C/ GRELHA CROMADA 150X150X75 MM</v>
          </cell>
          <cell r="C707" t="str">
            <v>un</v>
          </cell>
          <cell r="D707">
            <v>55.14</v>
          </cell>
        </row>
        <row r="708">
          <cell r="A708" t="str">
            <v>161180U</v>
          </cell>
          <cell r="B708" t="str">
            <v>VEDACAO SAIDA DE VASO SANITARIO PVC 100 MM</v>
          </cell>
          <cell r="C708" t="str">
            <v>un</v>
          </cell>
          <cell r="D708">
            <v>12.68</v>
          </cell>
        </row>
        <row r="709">
          <cell r="A709" t="str">
            <v>161181U</v>
          </cell>
          <cell r="B709" t="str">
            <v>LIGACAO PARA SAIDA DE VASO SANITARIO PVC 100 MM</v>
          </cell>
          <cell r="C709" t="str">
            <v>un</v>
          </cell>
          <cell r="D709">
            <v>8.84</v>
          </cell>
        </row>
        <row r="710">
          <cell r="A710" t="str">
            <v>161182U</v>
          </cell>
          <cell r="B710" t="str">
            <v>ADAPTADOR P/ SIFAO PVC 11/2" X 40 MM</v>
          </cell>
          <cell r="C710" t="str">
            <v>un</v>
          </cell>
          <cell r="D710">
            <v>5.49</v>
          </cell>
        </row>
        <row r="711">
          <cell r="A711" t="str">
            <v>161190U</v>
          </cell>
          <cell r="B711" t="str">
            <v>TUBO PVC RIGIDO C/ PONTA E BOLSA 150 MM</v>
          </cell>
          <cell r="C711" t="str">
            <v>m</v>
          </cell>
          <cell r="D711">
            <v>28.62</v>
          </cell>
        </row>
        <row r="712">
          <cell r="A712" t="str">
            <v>161191U</v>
          </cell>
          <cell r="B712" t="str">
            <v>JOELHO 45 PVC 150 MM ESGOTO</v>
          </cell>
          <cell r="C712" t="str">
            <v>un</v>
          </cell>
          <cell r="D712">
            <v>41.77</v>
          </cell>
        </row>
        <row r="713">
          <cell r="A713" t="str">
            <v>161192U</v>
          </cell>
          <cell r="B713" t="str">
            <v>JOELHO 90 PVC 150 MM ESGOTO</v>
          </cell>
          <cell r="C713" t="str">
            <v>un</v>
          </cell>
          <cell r="D713">
            <v>41.29</v>
          </cell>
        </row>
        <row r="714">
          <cell r="A714" t="str">
            <v>161193U</v>
          </cell>
          <cell r="B714" t="str">
            <v>CURVA LONGA 90 PVC 150 MM ESGOTO</v>
          </cell>
          <cell r="C714" t="str">
            <v>un</v>
          </cell>
          <cell r="D714">
            <v>90.74</v>
          </cell>
        </row>
        <row r="715">
          <cell r="A715" t="str">
            <v>161194U</v>
          </cell>
          <cell r="B715" t="str">
            <v>CURVA LONGA 45 PVC 150 MM ESGOTO</v>
          </cell>
          <cell r="C715" t="str">
            <v>un</v>
          </cell>
          <cell r="D715">
            <v>87.61</v>
          </cell>
        </row>
        <row r="716">
          <cell r="A716" t="str">
            <v>161195U</v>
          </cell>
          <cell r="B716" t="str">
            <v>TE SANITARIO 90 PVC 150 X 100 MM ESGOTO</v>
          </cell>
          <cell r="C716" t="str">
            <v>un</v>
          </cell>
          <cell r="D716">
            <v>50.73</v>
          </cell>
        </row>
        <row r="717">
          <cell r="A717" t="str">
            <v>161196U</v>
          </cell>
          <cell r="B717" t="str">
            <v>TE SANITARIO 90 PVC 150 X 150 MM ESGOTO</v>
          </cell>
          <cell r="C717" t="str">
            <v>un</v>
          </cell>
          <cell r="D717">
            <v>53.74</v>
          </cell>
        </row>
        <row r="718">
          <cell r="A718" t="str">
            <v>161197U</v>
          </cell>
          <cell r="B718" t="str">
            <v>ANEL DE BORRACHA 150 MM</v>
          </cell>
          <cell r="C718" t="str">
            <v>un</v>
          </cell>
          <cell r="D718">
            <v>5.77</v>
          </cell>
        </row>
        <row r="719">
          <cell r="A719" t="str">
            <v>161201U</v>
          </cell>
          <cell r="B719" t="str">
            <v>CAP PVC SOLDAVEL 40 MM ESGOTO</v>
          </cell>
          <cell r="C719" t="str">
            <v>un</v>
          </cell>
          <cell r="D719">
            <v>5.0199999999999996</v>
          </cell>
        </row>
        <row r="720">
          <cell r="A720" t="str">
            <v>161202U</v>
          </cell>
          <cell r="B720" t="str">
            <v>CAP PVC SOLDAVEL 50 MM ESGOTO</v>
          </cell>
          <cell r="C720" t="str">
            <v>un</v>
          </cell>
          <cell r="D720">
            <v>5.93</v>
          </cell>
        </row>
        <row r="721">
          <cell r="A721" t="str">
            <v>161203U</v>
          </cell>
          <cell r="B721" t="str">
            <v>CAP PVC SOLDAVEL 75 MM ESGOTO</v>
          </cell>
          <cell r="C721" t="str">
            <v>un</v>
          </cell>
          <cell r="D721">
            <v>13.28</v>
          </cell>
        </row>
        <row r="722">
          <cell r="A722" t="str">
            <v>161204U</v>
          </cell>
          <cell r="B722" t="str">
            <v>CAP PVC SOLDAVEL 100 MM ESGOTO</v>
          </cell>
          <cell r="C722" t="str">
            <v>un</v>
          </cell>
          <cell r="D722">
            <v>16.329999999999998</v>
          </cell>
        </row>
        <row r="723">
          <cell r="A723" t="str">
            <v>161205U</v>
          </cell>
          <cell r="B723" t="str">
            <v>JUNCAO SIMPLES 45 PVC 40 X 40 MM ESGOTO</v>
          </cell>
          <cell r="C723" t="str">
            <v>un</v>
          </cell>
          <cell r="D723">
            <v>8.8800000000000008</v>
          </cell>
        </row>
        <row r="724">
          <cell r="A724" t="str">
            <v>161206U</v>
          </cell>
          <cell r="B724" t="str">
            <v>JUNCAO INVERTIDA PVC 100 X 75 MM ESGOTO</v>
          </cell>
          <cell r="C724" t="str">
            <v>un</v>
          </cell>
          <cell r="D724">
            <v>32.68</v>
          </cell>
        </row>
        <row r="725">
          <cell r="A725" t="str">
            <v>161207U</v>
          </cell>
          <cell r="B725" t="str">
            <v>JUNCAO INVERTIDA PVC 100X100 MM ESGOTO</v>
          </cell>
          <cell r="C725" t="str">
            <v>un</v>
          </cell>
          <cell r="D725">
            <v>41.87</v>
          </cell>
        </row>
        <row r="726">
          <cell r="A726">
            <v>161300</v>
          </cell>
          <cell r="B726" t="str">
            <v>PONTO DE ESGOTO</v>
          </cell>
        </row>
        <row r="727">
          <cell r="A727" t="str">
            <v>161301U</v>
          </cell>
          <cell r="B727" t="str">
            <v>PONTO DE ESGOTO</v>
          </cell>
          <cell r="C727" t="str">
            <v>un</v>
          </cell>
          <cell r="D727">
            <v>157.09</v>
          </cell>
        </row>
        <row r="728">
          <cell r="A728">
            <v>161600</v>
          </cell>
          <cell r="B728" t="str">
            <v>FOSSAS E SUMIDOUROS</v>
          </cell>
        </row>
        <row r="729">
          <cell r="A729" t="str">
            <v>161601U</v>
          </cell>
          <cell r="B729" t="str">
            <v>FOSSA SEPTICA COM CAPACIDADE PARA ATE 8 PESSOAS</v>
          </cell>
          <cell r="C729" t="str">
            <v>un</v>
          </cell>
          <cell r="D729">
            <v>215.48</v>
          </cell>
        </row>
        <row r="730">
          <cell r="A730" t="str">
            <v>161602U</v>
          </cell>
          <cell r="B730" t="str">
            <v>FOSSA SEPTICA COM CAPACIDADE PARA ATE 12 PESSOAS</v>
          </cell>
          <cell r="C730" t="str">
            <v>un</v>
          </cell>
          <cell r="D730">
            <v>264.33</v>
          </cell>
        </row>
        <row r="731">
          <cell r="A731" t="str">
            <v>161603U</v>
          </cell>
          <cell r="B731" t="str">
            <v>FOSSA SEPTICA COM CAPACIDADE PARA ATE 15 PESSOAS</v>
          </cell>
          <cell r="C731" t="str">
            <v>un</v>
          </cell>
          <cell r="D731">
            <v>267.22000000000003</v>
          </cell>
        </row>
        <row r="732">
          <cell r="A732" t="str">
            <v>161604U</v>
          </cell>
          <cell r="B732" t="str">
            <v>POCO SUMIDOURO P/ FOSSA SEPTICA ATE 15 PESSOAS</v>
          </cell>
          <cell r="C732" t="str">
            <v>un</v>
          </cell>
          <cell r="D732">
            <v>506.13</v>
          </cell>
        </row>
        <row r="733">
          <cell r="A733" t="str">
            <v>161605U</v>
          </cell>
          <cell r="B733" t="str">
            <v>FOSSA SEPTICA COM CAPACIDADE PARA ATE 50 PESSOAS</v>
          </cell>
          <cell r="C733" t="str">
            <v>un</v>
          </cell>
          <cell r="D733">
            <v>1197.01</v>
          </cell>
        </row>
        <row r="734">
          <cell r="A734" t="str">
            <v>161606U</v>
          </cell>
          <cell r="B734" t="str">
            <v>POCO SUMIDOURO P/ FOSSA SEPTICA ATE 50 PESSOAS</v>
          </cell>
          <cell r="C734" t="str">
            <v>un</v>
          </cell>
          <cell r="D734">
            <v>1391.94</v>
          </cell>
        </row>
        <row r="735">
          <cell r="A735" t="str">
            <v>161607U</v>
          </cell>
          <cell r="B735" t="str">
            <v>FOSSA SEPTICA COM CAPACIDADE P/ ATE 150 PESSOAS</v>
          </cell>
          <cell r="C735" t="str">
            <v>un</v>
          </cell>
          <cell r="D735">
            <v>3827.51</v>
          </cell>
        </row>
        <row r="736">
          <cell r="A736" t="str">
            <v>161608U</v>
          </cell>
          <cell r="B736" t="str">
            <v>POCO SUMIDOURO P/ FOSSA SEPTICA DE ATE 150 PESSOAS</v>
          </cell>
          <cell r="C736" t="str">
            <v>un</v>
          </cell>
          <cell r="D736">
            <v>2413.2399999999998</v>
          </cell>
        </row>
        <row r="737">
          <cell r="A737">
            <v>162000</v>
          </cell>
          <cell r="B737" t="str">
            <v>REDE DE ÁGUA PLUVIAIS</v>
          </cell>
        </row>
        <row r="738">
          <cell r="A738">
            <v>162200</v>
          </cell>
          <cell r="B738" t="str">
            <v>TUBOS E CONEXÕES DE CERÂMICA</v>
          </cell>
        </row>
        <row r="739">
          <cell r="A739" t="str">
            <v>162201U</v>
          </cell>
          <cell r="B739" t="str">
            <v>MANILHA DE BARRO GLASURADA 100 MM (4")</v>
          </cell>
          <cell r="C739" t="str">
            <v>m</v>
          </cell>
          <cell r="D739">
            <v>16.77</v>
          </cell>
        </row>
        <row r="740">
          <cell r="A740" t="str">
            <v>162202U</v>
          </cell>
          <cell r="B740" t="str">
            <v>MANILHA DE BARRO GLASURADA 150 MM (6")</v>
          </cell>
          <cell r="C740" t="str">
            <v>m</v>
          </cell>
          <cell r="D740">
            <v>24.82</v>
          </cell>
        </row>
        <row r="741">
          <cell r="A741" t="str">
            <v>162203U</v>
          </cell>
          <cell r="B741" t="str">
            <v>CURVA DE BARRO GLASURADA 100 MM (4")</v>
          </cell>
          <cell r="C741" t="str">
            <v>m</v>
          </cell>
          <cell r="D741">
            <v>26.23</v>
          </cell>
        </row>
        <row r="742">
          <cell r="A742" t="str">
            <v>162204U</v>
          </cell>
          <cell r="B742" t="str">
            <v>CURVA DE BARRO GLASURADA 150 MM (6")</v>
          </cell>
          <cell r="C742" t="str">
            <v>m</v>
          </cell>
          <cell r="D742">
            <v>32.58</v>
          </cell>
        </row>
        <row r="743">
          <cell r="A743" t="str">
            <v>162206U</v>
          </cell>
          <cell r="B743" t="str">
            <v>MANILHA DE BARRO C/FUROS PARA DRENO 100 MM (4")</v>
          </cell>
          <cell r="C743" t="str">
            <v>m</v>
          </cell>
          <cell r="D743">
            <v>18.41</v>
          </cell>
        </row>
        <row r="744">
          <cell r="A744" t="str">
            <v>162207U</v>
          </cell>
          <cell r="B744" t="str">
            <v>MANILHA DE BARRO C/FUROS PARA DRENO 150 MM (6")</v>
          </cell>
          <cell r="C744" t="str">
            <v>m</v>
          </cell>
          <cell r="D744">
            <v>29.12</v>
          </cell>
        </row>
        <row r="745">
          <cell r="A745">
            <v>162400</v>
          </cell>
          <cell r="B745" t="str">
            <v>TUBOS DE CONCRETO</v>
          </cell>
        </row>
        <row r="746">
          <cell r="A746" t="str">
            <v>162401U</v>
          </cell>
          <cell r="B746" t="str">
            <v>FORNEC. E ASSENT. TUBO DE CONCRETO D=0,20M SIMPLES</v>
          </cell>
          <cell r="C746" t="str">
            <v>m</v>
          </cell>
          <cell r="D746">
            <v>22.45</v>
          </cell>
        </row>
        <row r="747">
          <cell r="A747" t="str">
            <v>162402U</v>
          </cell>
          <cell r="B747" t="str">
            <v>FORNEC. ASSENT. 1/2 TUBO CONCRETO D=0,20M SIMPLES</v>
          </cell>
          <cell r="C747" t="str">
            <v>m</v>
          </cell>
          <cell r="D747">
            <v>20.260000000000002</v>
          </cell>
        </row>
        <row r="748">
          <cell r="A748" t="str">
            <v>162403U</v>
          </cell>
          <cell r="B748" t="str">
            <v>FORNEC. E ASSENT. TUBO DE CONCRETO D=0,30M SIMPLES</v>
          </cell>
          <cell r="C748" t="str">
            <v>m</v>
          </cell>
          <cell r="D748">
            <v>26.54</v>
          </cell>
        </row>
        <row r="749">
          <cell r="A749" t="str">
            <v>162404U</v>
          </cell>
          <cell r="B749" t="str">
            <v>FORNEC. ASSENT. 1/2 TUBO CONCRETO D=0,30M SIMPLES</v>
          </cell>
          <cell r="C749" t="str">
            <v>m</v>
          </cell>
          <cell r="D749">
            <v>22.67</v>
          </cell>
        </row>
        <row r="750">
          <cell r="A750">
            <v>170000</v>
          </cell>
          <cell r="B750" t="str">
            <v>INSTALAÇÃO DE PREVENÇÃO CONTRA INCÊNDIOS</v>
          </cell>
        </row>
        <row r="751">
          <cell r="A751">
            <v>170500</v>
          </cell>
          <cell r="B751" t="str">
            <v>EXTINTORES</v>
          </cell>
        </row>
        <row r="752">
          <cell r="A752" t="str">
            <v>170501U</v>
          </cell>
          <cell r="B752" t="str">
            <v>EXTINTOR DE PO QUIMICO 4 KG</v>
          </cell>
          <cell r="C752" t="str">
            <v>un</v>
          </cell>
          <cell r="D752">
            <v>113.84</v>
          </cell>
        </row>
        <row r="753">
          <cell r="A753" t="str">
            <v>170502U</v>
          </cell>
          <cell r="B753" t="str">
            <v>EXTINTOR DE PO QUIMICO 6 KG</v>
          </cell>
          <cell r="C753" t="str">
            <v>un</v>
          </cell>
          <cell r="D753">
            <v>130.68</v>
          </cell>
        </row>
        <row r="754">
          <cell r="A754" t="str">
            <v>170503U</v>
          </cell>
          <cell r="B754" t="str">
            <v>EXTINTOR DE PO QUIMICO 12 KG</v>
          </cell>
          <cell r="C754" t="str">
            <v>un</v>
          </cell>
          <cell r="D754">
            <v>165.57</v>
          </cell>
        </row>
        <row r="755">
          <cell r="A755" t="str">
            <v>170504U</v>
          </cell>
          <cell r="B755" t="str">
            <v>EXTINTOR DE GAS CARBONICO 6 KG (CO2)</v>
          </cell>
          <cell r="C755" t="str">
            <v>un</v>
          </cell>
          <cell r="D755">
            <v>458.77</v>
          </cell>
        </row>
        <row r="756">
          <cell r="A756" t="str">
            <v>170505U</v>
          </cell>
          <cell r="B756" t="str">
            <v>EXTINTOR DE AGUA PRESSURIZADA 10 LITROS</v>
          </cell>
          <cell r="C756" t="str">
            <v>un</v>
          </cell>
          <cell r="D756">
            <v>125.87</v>
          </cell>
        </row>
        <row r="757">
          <cell r="A757">
            <v>180000</v>
          </cell>
          <cell r="B757" t="str">
            <v>INSTALAÇÕES ELÉTRICAS</v>
          </cell>
        </row>
        <row r="758">
          <cell r="A758">
            <v>180100</v>
          </cell>
          <cell r="B758" t="str">
            <v>ENTRADA DE ENERGIA</v>
          </cell>
        </row>
        <row r="759">
          <cell r="A759" t="str">
            <v>180101U</v>
          </cell>
          <cell r="B759" t="str">
            <v>POSTE CONCRETO PADRAO COPEL H= 7,60 M 100 DAN</v>
          </cell>
          <cell r="C759" t="str">
            <v>un</v>
          </cell>
          <cell r="D759">
            <v>470.69</v>
          </cell>
        </row>
        <row r="760">
          <cell r="A760" t="str">
            <v>180102U</v>
          </cell>
          <cell r="B760" t="str">
            <v>POSTE CONCRETO PADRAO COPEL H= 7,60 M 200 DAN</v>
          </cell>
          <cell r="C760" t="str">
            <v>un</v>
          </cell>
          <cell r="D760">
            <v>518.80999999999995</v>
          </cell>
        </row>
        <row r="761">
          <cell r="A761" t="str">
            <v>180103U</v>
          </cell>
          <cell r="B761" t="str">
            <v>POSTE CONCRETO PADRAO COPEL H= 7,60 M 300 DAN</v>
          </cell>
          <cell r="C761" t="str">
            <v>un</v>
          </cell>
          <cell r="D761">
            <v>639.12</v>
          </cell>
        </row>
        <row r="762">
          <cell r="A762" t="str">
            <v>180104U</v>
          </cell>
          <cell r="B762" t="str">
            <v>POSTE CONCRETO PADRAO COPEL H= 7,60 M 400 DAN</v>
          </cell>
          <cell r="C762" t="str">
            <v>un</v>
          </cell>
          <cell r="D762">
            <v>699.28</v>
          </cell>
        </row>
        <row r="763">
          <cell r="A763" t="str">
            <v>180105U</v>
          </cell>
          <cell r="B763" t="str">
            <v>ARMACAO PRESBOW C/ 4 ESTRIBOS E 4 ROLDANAS</v>
          </cell>
          <cell r="C763" t="str">
            <v>un</v>
          </cell>
          <cell r="D763">
            <v>69.290000000000006</v>
          </cell>
        </row>
        <row r="764">
          <cell r="A764" t="str">
            <v>180106U</v>
          </cell>
          <cell r="B764" t="str">
            <v>PARAFUSO GALV.16 MM CABECA E PORCA QUADRADA 200 MM</v>
          </cell>
          <cell r="C764" t="str">
            <v>un</v>
          </cell>
          <cell r="D764">
            <v>5.46</v>
          </cell>
        </row>
        <row r="765">
          <cell r="A765" t="str">
            <v>180107U</v>
          </cell>
          <cell r="B765" t="str">
            <v>CURVA 135 P/ ELETRODUTO PVC 50 MM</v>
          </cell>
          <cell r="C765" t="str">
            <v>un</v>
          </cell>
          <cell r="D765">
            <v>12.16</v>
          </cell>
        </row>
        <row r="766">
          <cell r="A766" t="str">
            <v>180108U</v>
          </cell>
          <cell r="B766" t="str">
            <v>CURVA 135 P/ ELETRODUTO PVC 19 MM</v>
          </cell>
          <cell r="C766" t="str">
            <v>un</v>
          </cell>
          <cell r="D766">
            <v>3.69</v>
          </cell>
        </row>
        <row r="767">
          <cell r="A767" t="str">
            <v>180109U</v>
          </cell>
          <cell r="B767" t="str">
            <v>CONECTOR SPLIT-BOLT P/ CONDUTOR 10 MM2</v>
          </cell>
          <cell r="C767" t="str">
            <v>un</v>
          </cell>
          <cell r="D767">
            <v>3.73</v>
          </cell>
        </row>
        <row r="768">
          <cell r="A768" t="str">
            <v>180110U</v>
          </cell>
          <cell r="B768" t="str">
            <v>CONECTOR SPLIT-BOLT P/ CONDUTOR 25 MM2</v>
          </cell>
          <cell r="C768" t="str">
            <v>un</v>
          </cell>
          <cell r="D768">
            <v>5.62</v>
          </cell>
        </row>
        <row r="769">
          <cell r="A769" t="str">
            <v>180111U</v>
          </cell>
          <cell r="B769" t="str">
            <v>CONECTOR SPLIT-BOLT P/ CONDUTOR 35 MM2</v>
          </cell>
          <cell r="C769" t="str">
            <v>un</v>
          </cell>
          <cell r="D769">
            <v>7.41</v>
          </cell>
        </row>
        <row r="770">
          <cell r="A770" t="str">
            <v>180112U</v>
          </cell>
          <cell r="B770" t="str">
            <v>CONECTOR SPLIT-BOLT P/ CONDUTOR 50 MM2</v>
          </cell>
          <cell r="C770" t="str">
            <v>un</v>
          </cell>
          <cell r="D770">
            <v>9.8800000000000008</v>
          </cell>
        </row>
        <row r="771">
          <cell r="A771" t="str">
            <v>180113U</v>
          </cell>
          <cell r="B771" t="str">
            <v>CONECTOR SPLIT-BOLT P/ CONDUTOR 70 MM2</v>
          </cell>
          <cell r="C771" t="str">
            <v>un</v>
          </cell>
          <cell r="D771">
            <v>13.31</v>
          </cell>
        </row>
        <row r="772">
          <cell r="A772" t="str">
            <v>180114U</v>
          </cell>
          <cell r="B772" t="str">
            <v>CONECTOR SPLIT-BOLT P/ CONDUTOR 95 MM2</v>
          </cell>
          <cell r="C772" t="str">
            <v>un</v>
          </cell>
          <cell r="D772">
            <v>21.23</v>
          </cell>
        </row>
        <row r="773">
          <cell r="A773" t="str">
            <v>180118U</v>
          </cell>
          <cell r="B773" t="str">
            <v>ARAME GUIA N. 14</v>
          </cell>
          <cell r="C773" t="str">
            <v>kg</v>
          </cell>
          <cell r="D773">
            <v>13.14</v>
          </cell>
        </row>
        <row r="774">
          <cell r="A774" t="str">
            <v>180119U</v>
          </cell>
          <cell r="B774" t="str">
            <v>ARAME GUIA N. 14</v>
          </cell>
          <cell r="C774" t="str">
            <v>m</v>
          </cell>
          <cell r="D774">
            <v>0.54</v>
          </cell>
        </row>
        <row r="775">
          <cell r="A775" t="str">
            <v>180120U</v>
          </cell>
          <cell r="B775" t="str">
            <v>CAIXA CN PADRAO COPEL 50X40X20 CM C/ DISP.P/ LACRE</v>
          </cell>
          <cell r="C775" t="str">
            <v>un</v>
          </cell>
          <cell r="D775">
            <v>127.07</v>
          </cell>
        </row>
        <row r="776">
          <cell r="A776" t="str">
            <v>180121U</v>
          </cell>
          <cell r="B776" t="str">
            <v>CAIXA METALICA 4" X 4" QUADRADA C/ ESPELHO CEGO</v>
          </cell>
          <cell r="C776" t="str">
            <v>un</v>
          </cell>
          <cell r="D776">
            <v>8.81</v>
          </cell>
        </row>
        <row r="777">
          <cell r="A777" t="str">
            <v>180122U</v>
          </cell>
          <cell r="B777" t="str">
            <v>HASTE ATERRAMENTO COPPERWELD 5/8"X3,0M E TERMINAIS</v>
          </cell>
          <cell r="C777" t="str">
            <v>un</v>
          </cell>
          <cell r="D777">
            <v>48.15</v>
          </cell>
        </row>
        <row r="778">
          <cell r="A778" t="str">
            <v>180123U</v>
          </cell>
          <cell r="B778" t="str">
            <v>CONDUTOR DE COBRE NU 16 MM2</v>
          </cell>
          <cell r="C778" t="str">
            <v>m</v>
          </cell>
          <cell r="D778">
            <v>8</v>
          </cell>
        </row>
        <row r="779">
          <cell r="A779" t="str">
            <v>180124U</v>
          </cell>
          <cell r="B779" t="str">
            <v>CONDUTOR DE COBRE NU 25 MM2</v>
          </cell>
          <cell r="C779" t="str">
            <v>m</v>
          </cell>
          <cell r="D779">
            <v>10.62</v>
          </cell>
        </row>
        <row r="780">
          <cell r="A780" t="str">
            <v>180125U</v>
          </cell>
          <cell r="B780" t="str">
            <v>CONDUTOR DE COBRE NU 35 MM2</v>
          </cell>
          <cell r="C780" t="str">
            <v>m</v>
          </cell>
          <cell r="D780">
            <v>13.93</v>
          </cell>
        </row>
        <row r="781">
          <cell r="A781" t="str">
            <v>180126U</v>
          </cell>
          <cell r="B781" t="str">
            <v>CONDUTOR DE COBRE NU 50 MM2</v>
          </cell>
          <cell r="C781" t="str">
            <v>m</v>
          </cell>
          <cell r="D781">
            <v>19.5</v>
          </cell>
        </row>
        <row r="782">
          <cell r="A782" t="str">
            <v>180127U</v>
          </cell>
          <cell r="B782" t="str">
            <v>CONDUTOR DE COBRE NU 70 MM2</v>
          </cell>
          <cell r="C782" t="str">
            <v>m</v>
          </cell>
          <cell r="D782">
            <v>26.61</v>
          </cell>
        </row>
        <row r="783">
          <cell r="A783" t="str">
            <v>180128U</v>
          </cell>
          <cell r="B783" t="str">
            <v>CAIXA DE MEDICAO TIPO DN PADRAO NACIONAL</v>
          </cell>
          <cell r="C783" t="str">
            <v>un</v>
          </cell>
          <cell r="D783">
            <v>310.45</v>
          </cell>
        </row>
        <row r="784">
          <cell r="A784" t="str">
            <v>180129U</v>
          </cell>
          <cell r="B784" t="str">
            <v>CAIXA DE MEDICAO TIPO EN PADRAO NACIONAL</v>
          </cell>
          <cell r="C784" t="str">
            <v>un</v>
          </cell>
          <cell r="D784">
            <v>329.36</v>
          </cell>
        </row>
        <row r="785">
          <cell r="A785" t="str">
            <v>180130U</v>
          </cell>
          <cell r="B785" t="str">
            <v>CAIXA DE MEDICAO TIPO FN PADRAO NACIONAL</v>
          </cell>
          <cell r="C785" t="str">
            <v>un</v>
          </cell>
          <cell r="D785">
            <v>377.82</v>
          </cell>
        </row>
        <row r="786">
          <cell r="A786" t="str">
            <v>180131U</v>
          </cell>
          <cell r="B786" t="str">
            <v>CAIXA DE MEDICAO TIPO GN PADRAO NACIONAL</v>
          </cell>
          <cell r="C786" t="str">
            <v>un</v>
          </cell>
          <cell r="D786">
            <v>338.36</v>
          </cell>
        </row>
        <row r="787">
          <cell r="A787" t="str">
            <v>180132U</v>
          </cell>
          <cell r="B787" t="str">
            <v>BRACADEIRA METALICA TIPO U D= 1/2"</v>
          </cell>
          <cell r="C787" t="str">
            <v>un</v>
          </cell>
          <cell r="D787">
            <v>0.46</v>
          </cell>
        </row>
        <row r="788">
          <cell r="A788" t="str">
            <v>180133U</v>
          </cell>
          <cell r="B788" t="str">
            <v>BRACADEIRA METALICA TIPO U D= 3/4"</v>
          </cell>
          <cell r="C788" t="str">
            <v>un</v>
          </cell>
          <cell r="D788">
            <v>0.57999999999999996</v>
          </cell>
        </row>
        <row r="789">
          <cell r="A789" t="str">
            <v>180134U</v>
          </cell>
          <cell r="B789" t="str">
            <v>BRACADEIRA METALICA TIPO U D= 1"</v>
          </cell>
          <cell r="C789" t="str">
            <v>un</v>
          </cell>
          <cell r="D789">
            <v>0.91</v>
          </cell>
        </row>
        <row r="790">
          <cell r="A790" t="str">
            <v>180135U</v>
          </cell>
          <cell r="B790" t="str">
            <v>BRACADEIRA METALICA TIPO U D= 11/4"</v>
          </cell>
          <cell r="C790" t="str">
            <v>un</v>
          </cell>
          <cell r="D790">
            <v>1.4</v>
          </cell>
        </row>
        <row r="791">
          <cell r="A791" t="str">
            <v>180136U</v>
          </cell>
          <cell r="B791" t="str">
            <v>BRACADEIRA METALICA TIPO U D= 11/2"</v>
          </cell>
          <cell r="C791" t="str">
            <v>un</v>
          </cell>
          <cell r="D791">
            <v>1.52</v>
          </cell>
        </row>
        <row r="792">
          <cell r="A792" t="str">
            <v>180137U</v>
          </cell>
          <cell r="B792" t="str">
            <v>BRACADEIRA METALICA TIPO U D= 2"</v>
          </cell>
          <cell r="C792" t="str">
            <v>un</v>
          </cell>
          <cell r="D792">
            <v>2.14</v>
          </cell>
        </row>
        <row r="793">
          <cell r="A793" t="str">
            <v>180138U</v>
          </cell>
          <cell r="B793" t="str">
            <v>BRACADEIRA METALICA TIPO U D= 21/2"</v>
          </cell>
          <cell r="C793" t="str">
            <v>un</v>
          </cell>
          <cell r="D793">
            <v>2.8</v>
          </cell>
        </row>
        <row r="794">
          <cell r="A794" t="str">
            <v>180139U</v>
          </cell>
          <cell r="B794" t="str">
            <v>BRACADEIRA METALICA TIPO U D= 3"</v>
          </cell>
          <cell r="C794" t="str">
            <v>un</v>
          </cell>
          <cell r="D794">
            <v>3.5</v>
          </cell>
        </row>
        <row r="795">
          <cell r="A795" t="str">
            <v>180140U</v>
          </cell>
          <cell r="B795" t="str">
            <v>BRACADEIRA METALICA TIPO U D= 4"</v>
          </cell>
          <cell r="C795" t="str">
            <v>un</v>
          </cell>
          <cell r="D795">
            <v>5.22</v>
          </cell>
        </row>
        <row r="796">
          <cell r="A796" t="str">
            <v>180141U</v>
          </cell>
          <cell r="B796" t="str">
            <v>BRACADEIRA METALICA TIPO D D= 1/2"</v>
          </cell>
          <cell r="C796" t="str">
            <v>un</v>
          </cell>
          <cell r="D796">
            <v>0.67</v>
          </cell>
        </row>
        <row r="797">
          <cell r="A797" t="str">
            <v>180142U</v>
          </cell>
          <cell r="B797" t="str">
            <v>BRACADEIRA METALICA TIPO D D= 3/4"</v>
          </cell>
          <cell r="C797" t="str">
            <v>un</v>
          </cell>
          <cell r="D797">
            <v>0.81</v>
          </cell>
        </row>
        <row r="798">
          <cell r="A798" t="str">
            <v>180143U</v>
          </cell>
          <cell r="B798" t="str">
            <v>BRACADEIRA METALICA TIPO D D= 1"</v>
          </cell>
          <cell r="C798" t="str">
            <v>un</v>
          </cell>
          <cell r="D798">
            <v>1.26</v>
          </cell>
        </row>
        <row r="799">
          <cell r="A799" t="str">
            <v>180144U</v>
          </cell>
          <cell r="B799" t="str">
            <v>BRACADEIRA METALICA TIPO D D= 11/4"</v>
          </cell>
          <cell r="C799" t="str">
            <v>un</v>
          </cell>
          <cell r="D799">
            <v>1.24</v>
          </cell>
        </row>
        <row r="800">
          <cell r="A800" t="str">
            <v>180145U</v>
          </cell>
          <cell r="B800" t="str">
            <v>BRACADEIRA METALICA TIPO D D= 11/2"</v>
          </cell>
          <cell r="C800" t="str">
            <v>un</v>
          </cell>
          <cell r="D800">
            <v>1.52</v>
          </cell>
        </row>
        <row r="801">
          <cell r="A801" t="str">
            <v>180146U</v>
          </cell>
          <cell r="B801" t="str">
            <v>BRACADEIRA METALICA TIPO D D= 2"</v>
          </cell>
          <cell r="C801" t="str">
            <v>un</v>
          </cell>
          <cell r="D801">
            <v>2.02</v>
          </cell>
        </row>
        <row r="802">
          <cell r="A802" t="str">
            <v>180147U</v>
          </cell>
          <cell r="B802" t="str">
            <v>BRACADEIRA METALICA TIPO D D= 21/2"</v>
          </cell>
          <cell r="C802" t="str">
            <v>un</v>
          </cell>
          <cell r="D802">
            <v>2.3199999999999998</v>
          </cell>
        </row>
        <row r="803">
          <cell r="A803" t="str">
            <v>180148U</v>
          </cell>
          <cell r="B803" t="str">
            <v>BRACADEIRA METALICA TIPO D D= 3"</v>
          </cell>
          <cell r="C803" t="str">
            <v>un</v>
          </cell>
          <cell r="D803">
            <v>3.02</v>
          </cell>
        </row>
        <row r="804">
          <cell r="A804" t="str">
            <v>180149U</v>
          </cell>
          <cell r="B804" t="str">
            <v>BRACADEIRA METALICA TIPO D D= 4"</v>
          </cell>
          <cell r="C804" t="str">
            <v>un</v>
          </cell>
          <cell r="D804">
            <v>4.26</v>
          </cell>
        </row>
        <row r="805">
          <cell r="A805" t="str">
            <v>180150U</v>
          </cell>
          <cell r="B805" t="str">
            <v>TERMINAL DE PRESSAO PARA CABO 10 MM2</v>
          </cell>
          <cell r="C805" t="str">
            <v>un</v>
          </cell>
          <cell r="D805">
            <v>2.94</v>
          </cell>
        </row>
        <row r="806">
          <cell r="A806" t="str">
            <v>180151U</v>
          </cell>
          <cell r="B806" t="str">
            <v>TERMINAL DE PRESSAO PARA CABO 16 MM2</v>
          </cell>
          <cell r="C806" t="str">
            <v>un</v>
          </cell>
          <cell r="D806">
            <v>3.66</v>
          </cell>
        </row>
        <row r="807">
          <cell r="A807" t="str">
            <v>180152U</v>
          </cell>
          <cell r="B807" t="str">
            <v>TERMINAL DE PRESSAO PARA CABO 25 MM2</v>
          </cell>
          <cell r="C807" t="str">
            <v>un</v>
          </cell>
          <cell r="D807">
            <v>3.66</v>
          </cell>
        </row>
        <row r="808">
          <cell r="A808" t="str">
            <v>180153U</v>
          </cell>
          <cell r="B808" t="str">
            <v>TERMINAL DE PRESSAO PARA CABO 35 MM2</v>
          </cell>
          <cell r="C808" t="str">
            <v>un</v>
          </cell>
          <cell r="D808">
            <v>4.2699999999999996</v>
          </cell>
        </row>
        <row r="809">
          <cell r="A809" t="str">
            <v>180154U</v>
          </cell>
          <cell r="B809" t="str">
            <v>TERMINAL DE PRESSAO PARA CABO 50 MM2</v>
          </cell>
          <cell r="C809" t="str">
            <v>un</v>
          </cell>
          <cell r="D809">
            <v>4.3899999999999997</v>
          </cell>
        </row>
        <row r="810">
          <cell r="A810" t="str">
            <v>180155U</v>
          </cell>
          <cell r="B810" t="str">
            <v>TERMINAL DE PRESSAO PARA CABO 70 MM2</v>
          </cell>
          <cell r="C810" t="str">
            <v>un</v>
          </cell>
          <cell r="D810">
            <v>5.96</v>
          </cell>
        </row>
        <row r="811">
          <cell r="A811" t="str">
            <v>180156U</v>
          </cell>
          <cell r="B811" t="str">
            <v>TERMINAL DE PRESSAO PARA CABO 95 MM2</v>
          </cell>
          <cell r="C811" t="str">
            <v>un</v>
          </cell>
          <cell r="D811">
            <v>6.91</v>
          </cell>
        </row>
        <row r="812">
          <cell r="A812" t="str">
            <v>180157U</v>
          </cell>
          <cell r="B812" t="str">
            <v>TERMINAL DE PRESSAO PARA CABO 120 MM2</v>
          </cell>
          <cell r="C812" t="str">
            <v>un</v>
          </cell>
          <cell r="D812">
            <v>9.6999999999999993</v>
          </cell>
        </row>
        <row r="813">
          <cell r="A813" t="str">
            <v>180158U</v>
          </cell>
          <cell r="B813" t="str">
            <v>TERMINAL DE PRESSAO PARA CABO 150 MM2</v>
          </cell>
          <cell r="C813" t="str">
            <v>un</v>
          </cell>
          <cell r="D813">
            <v>11.29</v>
          </cell>
        </row>
        <row r="814">
          <cell r="A814" t="str">
            <v>180159U</v>
          </cell>
          <cell r="B814" t="str">
            <v>TERMINAL DE PRESSAO PARA CABO 185 MM2</v>
          </cell>
          <cell r="C814" t="str">
            <v>un</v>
          </cell>
          <cell r="D814">
            <v>16.420000000000002</v>
          </cell>
        </row>
        <row r="815">
          <cell r="A815" t="str">
            <v>180160U</v>
          </cell>
          <cell r="B815" t="str">
            <v>TERMINAL DE PRESSAO PARA CABO 240 MM2</v>
          </cell>
          <cell r="C815" t="str">
            <v>un</v>
          </cell>
          <cell r="D815">
            <v>20.92</v>
          </cell>
        </row>
        <row r="816">
          <cell r="A816" t="str">
            <v>180161U</v>
          </cell>
          <cell r="B816" t="str">
            <v>ARMACAO PRESBOW C/ 1 ESTRIBO E 1 ROLD. TIPO PESADA</v>
          </cell>
          <cell r="C816" t="str">
            <v>un</v>
          </cell>
          <cell r="D816">
            <v>19.73</v>
          </cell>
        </row>
        <row r="817">
          <cell r="A817" t="str">
            <v>180162U</v>
          </cell>
          <cell r="B817" t="str">
            <v>BUCHA S-8 NYLON COM PARAFUSO</v>
          </cell>
          <cell r="C817" t="str">
            <v>un</v>
          </cell>
          <cell r="D817">
            <v>1.3</v>
          </cell>
        </row>
        <row r="818">
          <cell r="A818" t="str">
            <v>180163U</v>
          </cell>
          <cell r="B818" t="str">
            <v>BUCHA S-6 NYLON COM PARAFUSO</v>
          </cell>
          <cell r="C818" t="str">
            <v>un</v>
          </cell>
          <cell r="D818">
            <v>1.06</v>
          </cell>
        </row>
        <row r="819">
          <cell r="A819" t="str">
            <v>180164U</v>
          </cell>
          <cell r="B819" t="str">
            <v>FITA AUTO FUSAO ROLO 10 M</v>
          </cell>
          <cell r="C819" t="str">
            <v>RL</v>
          </cell>
          <cell r="D819">
            <v>19.73</v>
          </cell>
        </row>
        <row r="820">
          <cell r="A820" t="str">
            <v>180165U</v>
          </cell>
          <cell r="B820" t="str">
            <v>FITA ISOLANTE PLASTICA ROLO 20 M</v>
          </cell>
          <cell r="C820" t="str">
            <v>RL</v>
          </cell>
          <cell r="D820">
            <v>12.68</v>
          </cell>
        </row>
        <row r="821">
          <cell r="A821" t="str">
            <v>180166U</v>
          </cell>
          <cell r="B821" t="str">
            <v>FITA ISOLANTE PLASTICA COLORIDA ROLO 20 M</v>
          </cell>
          <cell r="C821" t="str">
            <v>RL</v>
          </cell>
          <cell r="D821">
            <v>13.4</v>
          </cell>
        </row>
        <row r="822">
          <cell r="A822" t="str">
            <v>180167U</v>
          </cell>
          <cell r="B822" t="str">
            <v>MASSA DE CALAFETAR</v>
          </cell>
          <cell r="C822" t="str">
            <v>kg</v>
          </cell>
          <cell r="D822">
            <v>31.88</v>
          </cell>
        </row>
        <row r="823">
          <cell r="A823">
            <v>180700</v>
          </cell>
          <cell r="B823" t="str">
            <v>DISJUNTORES</v>
          </cell>
        </row>
        <row r="824">
          <cell r="A824" t="str">
            <v>180701U</v>
          </cell>
          <cell r="B824" t="str">
            <v xml:space="preserve">DISJUNTOR TERMOMAGNETICO MONOPOLAR 10 A </v>
          </cell>
          <cell r="C824" t="str">
            <v>un</v>
          </cell>
          <cell r="D824">
            <v>14.85</v>
          </cell>
        </row>
        <row r="825">
          <cell r="A825" t="str">
            <v>180702U</v>
          </cell>
          <cell r="B825" t="str">
            <v xml:space="preserve">DISJUNTOR TERMOMAGNETICO MONOPOLAR 15 A </v>
          </cell>
          <cell r="C825" t="str">
            <v>un</v>
          </cell>
          <cell r="D825">
            <v>14.85</v>
          </cell>
        </row>
        <row r="826">
          <cell r="A826" t="str">
            <v>180703U</v>
          </cell>
          <cell r="B826" t="str">
            <v xml:space="preserve">DISJUNTOR TERMOMAGNETICO MONOPOLAR 20 A </v>
          </cell>
          <cell r="C826" t="str">
            <v>un</v>
          </cell>
          <cell r="D826">
            <v>14.85</v>
          </cell>
        </row>
        <row r="827">
          <cell r="A827" t="str">
            <v>180704U</v>
          </cell>
          <cell r="B827" t="str">
            <v xml:space="preserve">DISJUNTOR TERMOMAGNETICO MONOPOLAR 25 A </v>
          </cell>
          <cell r="C827" t="str">
            <v>un</v>
          </cell>
          <cell r="D827">
            <v>14.85</v>
          </cell>
        </row>
        <row r="828">
          <cell r="A828" t="str">
            <v>180705U</v>
          </cell>
          <cell r="B828" t="str">
            <v xml:space="preserve">DISJUNTOR TERMOMAGNETICO MONOPOLAR 30 A </v>
          </cell>
          <cell r="C828" t="str">
            <v>un</v>
          </cell>
          <cell r="D828">
            <v>14.85</v>
          </cell>
        </row>
        <row r="829">
          <cell r="A829" t="str">
            <v>180706U</v>
          </cell>
          <cell r="B829" t="str">
            <v xml:space="preserve">DISJUNTOR TERMOMAGNETICO MONOPOLAR 40 A </v>
          </cell>
          <cell r="C829" t="str">
            <v>un</v>
          </cell>
          <cell r="D829">
            <v>19.059999999999999</v>
          </cell>
        </row>
        <row r="830">
          <cell r="A830" t="str">
            <v>180707U</v>
          </cell>
          <cell r="B830" t="str">
            <v xml:space="preserve">DISJUNTOR TERMOMAGNETICO MONOPOLAR 50 A </v>
          </cell>
          <cell r="C830" t="str">
            <v>un</v>
          </cell>
          <cell r="D830">
            <v>19.059999999999999</v>
          </cell>
        </row>
        <row r="831">
          <cell r="A831" t="str">
            <v>180708U</v>
          </cell>
          <cell r="B831" t="str">
            <v xml:space="preserve">DISJUNTOR TERMOMAGNETICO BIPOLAR 15 A </v>
          </cell>
          <cell r="C831" t="str">
            <v>un</v>
          </cell>
          <cell r="D831">
            <v>52.8</v>
          </cell>
        </row>
        <row r="832">
          <cell r="A832" t="str">
            <v>180709U</v>
          </cell>
          <cell r="B832" t="str">
            <v xml:space="preserve">DISJUNTOR TERMOMAGNETICO BIPOLAR 20 A </v>
          </cell>
          <cell r="C832" t="str">
            <v>un</v>
          </cell>
          <cell r="D832">
            <v>52.8</v>
          </cell>
        </row>
        <row r="833">
          <cell r="A833" t="str">
            <v>180710U</v>
          </cell>
          <cell r="B833" t="str">
            <v xml:space="preserve">DISJUNTOR TERMOMAGNETICO BIPOLAR 25 A </v>
          </cell>
          <cell r="C833" t="str">
            <v>un</v>
          </cell>
          <cell r="D833">
            <v>52.8</v>
          </cell>
        </row>
        <row r="834">
          <cell r="A834" t="str">
            <v>180711U</v>
          </cell>
          <cell r="B834" t="str">
            <v xml:space="preserve">DISJUNTOR TERMOMAGNETICO BIPOLAR 30 A </v>
          </cell>
          <cell r="C834" t="str">
            <v>un</v>
          </cell>
          <cell r="D834">
            <v>52.8</v>
          </cell>
        </row>
        <row r="835">
          <cell r="A835" t="str">
            <v>180712U</v>
          </cell>
          <cell r="B835" t="str">
            <v xml:space="preserve">DISJUNTOR TERMOMAGNETICO BIPOLAR 40 A </v>
          </cell>
          <cell r="C835" t="str">
            <v>un</v>
          </cell>
          <cell r="D835">
            <v>52.8</v>
          </cell>
        </row>
        <row r="836">
          <cell r="A836" t="str">
            <v>180713U</v>
          </cell>
          <cell r="B836" t="str">
            <v xml:space="preserve">DISJUNTOR TERMOMAGNETICO BIPOLAR 50 A </v>
          </cell>
          <cell r="C836" t="str">
            <v>un</v>
          </cell>
          <cell r="D836">
            <v>52.8</v>
          </cell>
        </row>
        <row r="837">
          <cell r="A837" t="str">
            <v>180714U</v>
          </cell>
          <cell r="B837" t="str">
            <v xml:space="preserve">DISJUNTOR TERMOMAGNETICO BIPOLAR 70 A </v>
          </cell>
          <cell r="C837" t="str">
            <v>un</v>
          </cell>
          <cell r="D837">
            <v>80.09</v>
          </cell>
        </row>
        <row r="838">
          <cell r="A838" t="str">
            <v>180715U</v>
          </cell>
          <cell r="B838" t="str">
            <v xml:space="preserve">DISJUNTOR TERMOMAGNETICO TRIPOLAR 15 A </v>
          </cell>
          <cell r="C838" t="str">
            <v>un</v>
          </cell>
          <cell r="D838">
            <v>70.180000000000007</v>
          </cell>
        </row>
        <row r="839">
          <cell r="A839" t="str">
            <v>180716U</v>
          </cell>
          <cell r="B839" t="str">
            <v xml:space="preserve">DISJUNTOR TERMOMAGNETICO TRIPOLAR 20 A </v>
          </cell>
          <cell r="C839" t="str">
            <v>un</v>
          </cell>
          <cell r="D839">
            <v>70.180000000000007</v>
          </cell>
        </row>
        <row r="840">
          <cell r="A840" t="str">
            <v>180717U</v>
          </cell>
          <cell r="B840" t="str">
            <v xml:space="preserve">DISJUNTOR TERMOMAGNETICO TRIPOLAR 25 A </v>
          </cell>
          <cell r="C840" t="str">
            <v>un</v>
          </cell>
          <cell r="D840">
            <v>70.180000000000007</v>
          </cell>
        </row>
        <row r="841">
          <cell r="A841" t="str">
            <v>180719U</v>
          </cell>
          <cell r="B841" t="str">
            <v xml:space="preserve">DISJUNTOR TERMOMAGNETICO TRIPOLAR 40 A </v>
          </cell>
          <cell r="C841" t="str">
            <v>un</v>
          </cell>
          <cell r="D841">
            <v>70.180000000000007</v>
          </cell>
        </row>
        <row r="842">
          <cell r="A842" t="str">
            <v>180720U</v>
          </cell>
          <cell r="B842" t="str">
            <v xml:space="preserve">DISJUNTOR TERMOMAGNETICO TRIPOLAR 50 A </v>
          </cell>
          <cell r="C842" t="str">
            <v>un</v>
          </cell>
          <cell r="D842">
            <v>70.180000000000007</v>
          </cell>
        </row>
        <row r="843">
          <cell r="A843" t="str">
            <v>180721U</v>
          </cell>
          <cell r="B843" t="str">
            <v xml:space="preserve">DISJUNTOR TERMOMAGNETICO TRIPOLAR 70 A </v>
          </cell>
          <cell r="C843" t="str">
            <v>un</v>
          </cell>
          <cell r="D843">
            <v>117.69</v>
          </cell>
        </row>
        <row r="844">
          <cell r="A844" t="str">
            <v>180722U</v>
          </cell>
          <cell r="B844" t="str">
            <v xml:space="preserve">DISJUNTOR TERMOMAGNETICO TRIPOLAR 90 A </v>
          </cell>
          <cell r="C844" t="str">
            <v>un</v>
          </cell>
          <cell r="D844">
            <v>117.69</v>
          </cell>
        </row>
        <row r="845">
          <cell r="A845" t="str">
            <v>180723U</v>
          </cell>
          <cell r="B845" t="str">
            <v xml:space="preserve">DISJUNTOR TERMOMAGNETICO TRIPOLAR 100 A </v>
          </cell>
          <cell r="C845" t="str">
            <v>un</v>
          </cell>
          <cell r="D845">
            <v>117.69</v>
          </cell>
        </row>
        <row r="846">
          <cell r="A846" t="str">
            <v>180724U</v>
          </cell>
          <cell r="B846" t="str">
            <v xml:space="preserve">DISJUNTOR TERMOMAGNETICO TRIPOLAR 125 A </v>
          </cell>
          <cell r="C846" t="str">
            <v>un</v>
          </cell>
          <cell r="D846">
            <v>249.91</v>
          </cell>
        </row>
        <row r="847">
          <cell r="A847" t="str">
            <v>180725U</v>
          </cell>
          <cell r="B847" t="str">
            <v>DISJUNTOR TERMOMAGNETICO TRIPOLAR 150 A</v>
          </cell>
          <cell r="C847" t="str">
            <v>un</v>
          </cell>
          <cell r="D847">
            <v>249.91</v>
          </cell>
        </row>
        <row r="848">
          <cell r="A848" t="str">
            <v>180726U</v>
          </cell>
          <cell r="B848" t="str">
            <v xml:space="preserve">DISJUNTOR TERMOMAGNETICO TRIPOLAR 200 A </v>
          </cell>
          <cell r="C848" t="str">
            <v>un</v>
          </cell>
          <cell r="D848">
            <v>249.91</v>
          </cell>
        </row>
        <row r="849">
          <cell r="A849">
            <v>181000</v>
          </cell>
          <cell r="B849" t="str">
            <v>ACESSÓRIOS GERAIS</v>
          </cell>
        </row>
        <row r="850">
          <cell r="A850">
            <v>181100</v>
          </cell>
          <cell r="B850" t="str">
            <v>ELETRODUTOS E CONEXÕES</v>
          </cell>
        </row>
        <row r="851">
          <cell r="A851" t="str">
            <v>181101U</v>
          </cell>
          <cell r="B851" t="str">
            <v>ELETRODUTO PVC RIGIDO ROSCAVEL 20 MM (1/2")</v>
          </cell>
          <cell r="C851" t="str">
            <v>m</v>
          </cell>
          <cell r="D851">
            <v>5.74</v>
          </cell>
        </row>
        <row r="852">
          <cell r="A852" t="str">
            <v>181102U</v>
          </cell>
          <cell r="B852" t="str">
            <v>ELETRODUTO PVC RIGIDO ROSCAVEL 25 MM (3/4")</v>
          </cell>
          <cell r="C852" t="str">
            <v>m</v>
          </cell>
          <cell r="D852">
            <v>6.12</v>
          </cell>
        </row>
        <row r="853">
          <cell r="A853" t="str">
            <v>181103U</v>
          </cell>
          <cell r="B853" t="str">
            <v>ELETRODUTO PVC RIGIDO ROSCAVEL 32 MM (1")</v>
          </cell>
          <cell r="C853" t="str">
            <v>m</v>
          </cell>
          <cell r="D853">
            <v>9.61</v>
          </cell>
        </row>
        <row r="854">
          <cell r="A854" t="str">
            <v>181104U</v>
          </cell>
          <cell r="B854" t="str">
            <v>ELETRODUTO PVC RIGIDO ROSCAVEL 40 MM (11/4")</v>
          </cell>
          <cell r="C854" t="str">
            <v>m</v>
          </cell>
          <cell r="D854">
            <v>11.54</v>
          </cell>
        </row>
        <row r="855">
          <cell r="A855" t="str">
            <v>181105U</v>
          </cell>
          <cell r="B855" t="str">
            <v>ELETRODUTO PVC RIGIDO ROSCAVEL 50 MM (11/2")</v>
          </cell>
          <cell r="C855" t="str">
            <v>m</v>
          </cell>
          <cell r="D855">
            <v>14.23</v>
          </cell>
        </row>
        <row r="856">
          <cell r="A856" t="str">
            <v>181106U</v>
          </cell>
          <cell r="B856" t="str">
            <v>ELETRODUTO PVC RIGIDO ROSCAVEL 60 MM (2")</v>
          </cell>
          <cell r="C856" t="str">
            <v>m</v>
          </cell>
          <cell r="D856">
            <v>17.36</v>
          </cell>
        </row>
        <row r="857">
          <cell r="A857" t="str">
            <v>181107U</v>
          </cell>
          <cell r="B857" t="str">
            <v>ELETRODUTO PVC RIGIDO ROSCAVEL 75 MM (21/2")</v>
          </cell>
          <cell r="C857" t="str">
            <v>m</v>
          </cell>
          <cell r="D857">
            <v>28.09</v>
          </cell>
        </row>
        <row r="858">
          <cell r="A858" t="str">
            <v>181108U</v>
          </cell>
          <cell r="B858" t="str">
            <v>ELETRODUTO PVC RIGIDO ROSCAVEL 85 MM (3")</v>
          </cell>
          <cell r="C858" t="str">
            <v>m</v>
          </cell>
          <cell r="D858">
            <v>34.01</v>
          </cell>
        </row>
        <row r="859">
          <cell r="A859" t="str">
            <v>181109U</v>
          </cell>
          <cell r="B859" t="str">
            <v>ELETRODUTO PVC RIGIDO ROSCAVEL 110 MM (4")</v>
          </cell>
          <cell r="C859" t="str">
            <v>m</v>
          </cell>
          <cell r="D859">
            <v>47.31</v>
          </cell>
        </row>
        <row r="860">
          <cell r="A860" t="str">
            <v>181110U</v>
          </cell>
          <cell r="B860" t="str">
            <v>CURVA PVC RIGIDO P/ ELETRODUTO 20 MM (1/2")</v>
          </cell>
          <cell r="C860" t="str">
            <v>un</v>
          </cell>
          <cell r="D860">
            <v>2.56</v>
          </cell>
        </row>
        <row r="861">
          <cell r="A861" t="str">
            <v>181111U</v>
          </cell>
          <cell r="B861" t="str">
            <v>CURVA PVC RIGIDO P/ ELETRODUTO 25 MM (3/4")</v>
          </cell>
          <cell r="C861" t="str">
            <v>un</v>
          </cell>
          <cell r="D861">
            <v>3.54</v>
          </cell>
        </row>
        <row r="862">
          <cell r="A862" t="str">
            <v>181112U</v>
          </cell>
          <cell r="B862" t="str">
            <v>CURVA PVC RIGIDO P/ ELETRODUTO 32 MM (1")</v>
          </cell>
          <cell r="C862" t="str">
            <v>un</v>
          </cell>
          <cell r="D862">
            <v>4.66</v>
          </cell>
        </row>
        <row r="863">
          <cell r="A863" t="str">
            <v>181113U</v>
          </cell>
          <cell r="B863" t="str">
            <v>CURVA PVC RIGIDO P/ ELETRODUTO 40 MM (11/4")</v>
          </cell>
          <cell r="C863" t="str">
            <v>un</v>
          </cell>
          <cell r="D863">
            <v>7.07</v>
          </cell>
        </row>
        <row r="864">
          <cell r="A864" t="str">
            <v>181114U</v>
          </cell>
          <cell r="B864" t="str">
            <v>CURVA PVC RIGIDO P/ ELETRODUTO 50 MM (11/2")</v>
          </cell>
          <cell r="C864" t="str">
            <v>un</v>
          </cell>
          <cell r="D864">
            <v>8.61</v>
          </cell>
        </row>
        <row r="865">
          <cell r="A865" t="str">
            <v>181115U</v>
          </cell>
          <cell r="B865" t="str">
            <v>CURVA PVC RIGIDO P/ ELETRODUTO 60 MM (2")</v>
          </cell>
          <cell r="C865" t="str">
            <v>un</v>
          </cell>
          <cell r="D865">
            <v>13.55</v>
          </cell>
        </row>
        <row r="866">
          <cell r="A866" t="str">
            <v>181116U</v>
          </cell>
          <cell r="B866" t="str">
            <v>CURVA PVC RIGIDO P/ ELETRODUTO 75 MM (21/2")</v>
          </cell>
          <cell r="C866" t="str">
            <v>un</v>
          </cell>
          <cell r="D866">
            <v>35.44</v>
          </cell>
        </row>
        <row r="867">
          <cell r="A867" t="str">
            <v>181117U</v>
          </cell>
          <cell r="B867" t="str">
            <v>CURVA PVC RIGIDO P/ ELETRODUTO 85 MM (3")</v>
          </cell>
          <cell r="C867" t="str">
            <v>un</v>
          </cell>
          <cell r="D867">
            <v>42.77</v>
          </cell>
        </row>
        <row r="868">
          <cell r="A868" t="str">
            <v>181118U</v>
          </cell>
          <cell r="B868" t="str">
            <v>CURVA PVC RIGIDO P/ ELETRODUTO 110 MM (4")</v>
          </cell>
          <cell r="C868" t="str">
            <v>un</v>
          </cell>
          <cell r="D868">
            <v>53.33</v>
          </cell>
        </row>
        <row r="869">
          <cell r="A869" t="str">
            <v>181119U</v>
          </cell>
          <cell r="B869" t="str">
            <v>LUVA PVC RIGIDO P/ ELETRODUTO 20 MM (1/2")</v>
          </cell>
          <cell r="C869" t="str">
            <v>un</v>
          </cell>
          <cell r="D869">
            <v>0.87</v>
          </cell>
        </row>
        <row r="870">
          <cell r="A870" t="str">
            <v>181120U</v>
          </cell>
          <cell r="B870" t="str">
            <v>LUVA PVC RIGIDO P/ ELETRODUTO 25 MM (3/4")</v>
          </cell>
          <cell r="C870" t="str">
            <v>un</v>
          </cell>
          <cell r="D870">
            <v>1.48</v>
          </cell>
        </row>
        <row r="871">
          <cell r="A871" t="str">
            <v>181121U</v>
          </cell>
          <cell r="B871" t="str">
            <v>LUVA PVC RIGIDO P/ ELETRODUTO 32 MM (1")</v>
          </cell>
          <cell r="C871" t="str">
            <v>un</v>
          </cell>
          <cell r="D871">
            <v>2.0099999999999998</v>
          </cell>
        </row>
        <row r="872">
          <cell r="A872" t="str">
            <v>181122U</v>
          </cell>
          <cell r="B872" t="str">
            <v>LUVA PVC RIGIDO P/ ELETRODUTO 40 MM (11/4")</v>
          </cell>
          <cell r="C872" t="str">
            <v>un</v>
          </cell>
          <cell r="D872">
            <v>3.01</v>
          </cell>
        </row>
        <row r="873">
          <cell r="A873" t="str">
            <v>181123U</v>
          </cell>
          <cell r="B873" t="str">
            <v>LUVA PVC RIGIDO P/ ELETRODUTO 50 MM (11/2")</v>
          </cell>
          <cell r="C873" t="str">
            <v>un</v>
          </cell>
          <cell r="D873">
            <v>3.81</v>
          </cell>
        </row>
        <row r="874">
          <cell r="A874" t="str">
            <v>181124U</v>
          </cell>
          <cell r="B874" t="str">
            <v>LUVA PVC RIGIDO P/ ELETRODUTO 60 MM (2")</v>
          </cell>
          <cell r="C874" t="str">
            <v>un</v>
          </cell>
          <cell r="D874">
            <v>5.25</v>
          </cell>
        </row>
        <row r="875">
          <cell r="A875" t="str">
            <v>181125U</v>
          </cell>
          <cell r="B875" t="str">
            <v>LUVA PVC RIGIDO P/ ELETRODUTO 75 MM (21/2")</v>
          </cell>
          <cell r="C875" t="str">
            <v>un</v>
          </cell>
          <cell r="D875">
            <v>13.11</v>
          </cell>
        </row>
        <row r="876">
          <cell r="A876" t="str">
            <v>181126U</v>
          </cell>
          <cell r="B876" t="str">
            <v>LUVA PVC RIGIDO P/ ELETRODUTO 85 MM (3")</v>
          </cell>
          <cell r="C876" t="str">
            <v>un</v>
          </cell>
          <cell r="D876">
            <v>18.489999999999998</v>
          </cell>
        </row>
        <row r="877">
          <cell r="A877" t="str">
            <v>181127U</v>
          </cell>
          <cell r="B877" t="str">
            <v>LUVA PVC RIGIDO P/ ELETRODUTO 110 MM (4")</v>
          </cell>
          <cell r="C877" t="str">
            <v>un</v>
          </cell>
          <cell r="D877">
            <v>31.11</v>
          </cell>
        </row>
        <row r="878">
          <cell r="A878" t="str">
            <v>181128U</v>
          </cell>
          <cell r="B878" t="str">
            <v>BUCHA E ARRUELA DE ALUMINIO 1/2"</v>
          </cell>
          <cell r="C878" t="str">
            <v>un</v>
          </cell>
          <cell r="D878">
            <v>0.87</v>
          </cell>
        </row>
        <row r="879">
          <cell r="A879" t="str">
            <v>181129U</v>
          </cell>
          <cell r="B879" t="str">
            <v>BUCHA E ARRUELA DE ALUMINIO 3/4"</v>
          </cell>
          <cell r="C879" t="str">
            <v>un</v>
          </cell>
          <cell r="D879">
            <v>0.94</v>
          </cell>
        </row>
        <row r="880">
          <cell r="A880" t="str">
            <v>181130U</v>
          </cell>
          <cell r="B880" t="str">
            <v>BUCHA E ARRUELA DE ALUMINIO 1"</v>
          </cell>
          <cell r="C880" t="str">
            <v>un</v>
          </cell>
          <cell r="D880">
            <v>1.38</v>
          </cell>
        </row>
        <row r="881">
          <cell r="A881" t="str">
            <v>181131U</v>
          </cell>
          <cell r="B881" t="str">
            <v>BUCHA E ARRUELA DE ALUMINIO 11/4"</v>
          </cell>
          <cell r="C881" t="str">
            <v>un</v>
          </cell>
          <cell r="D881">
            <v>2.3199999999999998</v>
          </cell>
        </row>
        <row r="882">
          <cell r="A882" t="str">
            <v>181132U</v>
          </cell>
          <cell r="B882" t="str">
            <v>BUCHA E ARRUELA DE ALUMINIO 11/2"</v>
          </cell>
          <cell r="C882" t="str">
            <v>un</v>
          </cell>
          <cell r="D882">
            <v>2.9</v>
          </cell>
        </row>
        <row r="883">
          <cell r="A883" t="str">
            <v>181133U</v>
          </cell>
          <cell r="B883" t="str">
            <v>BUCHA E ARRUELA DE ALUMINIO 2"</v>
          </cell>
          <cell r="C883" t="str">
            <v>un</v>
          </cell>
          <cell r="D883">
            <v>4.4000000000000004</v>
          </cell>
        </row>
        <row r="884">
          <cell r="A884" t="str">
            <v>181134U</v>
          </cell>
          <cell r="B884" t="str">
            <v>BUCHA E ARRUELA DE ALUMINIO 21/2"</v>
          </cell>
          <cell r="C884" t="str">
            <v>un</v>
          </cell>
          <cell r="D884">
            <v>7.69</v>
          </cell>
        </row>
        <row r="885">
          <cell r="A885" t="str">
            <v>181135U</v>
          </cell>
          <cell r="B885" t="str">
            <v>BUCHA E ARRUELA DE ALUMINIO 3"</v>
          </cell>
          <cell r="C885" t="str">
            <v>un</v>
          </cell>
          <cell r="D885">
            <v>10.41</v>
          </cell>
        </row>
        <row r="886">
          <cell r="A886" t="str">
            <v>181136U</v>
          </cell>
          <cell r="B886" t="str">
            <v>BUCHA E ARRUELA DE ALUMINIO 4"</v>
          </cell>
          <cell r="C886" t="str">
            <v>un</v>
          </cell>
          <cell r="D886">
            <v>15.4</v>
          </cell>
        </row>
        <row r="887">
          <cell r="A887">
            <v>181300</v>
          </cell>
          <cell r="B887" t="str">
            <v>FIOS E CABOS</v>
          </cell>
        </row>
        <row r="888">
          <cell r="A888" t="str">
            <v>181301U</v>
          </cell>
          <cell r="B888" t="str">
            <v>CONDUTOR COBRE 0,50 MM2 C/ ISOL. PLASTICO 750 V</v>
          </cell>
          <cell r="C888" t="str">
            <v>m</v>
          </cell>
          <cell r="D888">
            <v>0.65</v>
          </cell>
        </row>
        <row r="889">
          <cell r="A889" t="str">
            <v>181302U</v>
          </cell>
          <cell r="B889" t="str">
            <v>CONDUTOR COBRE 0,75 MM2 C/ ISOL. PLASTICO 750 V</v>
          </cell>
          <cell r="C889" t="str">
            <v>m</v>
          </cell>
          <cell r="D889">
            <v>0.84</v>
          </cell>
        </row>
        <row r="890">
          <cell r="A890" t="str">
            <v>181303U</v>
          </cell>
          <cell r="B890" t="str">
            <v>CONDUTOR COBRE 1,00 MM2 C/ ISOL. PLASTICO 750 V</v>
          </cell>
          <cell r="C890" t="str">
            <v>m</v>
          </cell>
          <cell r="D890">
            <v>0.95</v>
          </cell>
        </row>
        <row r="891">
          <cell r="A891" t="str">
            <v>181304U</v>
          </cell>
          <cell r="B891" t="str">
            <v>CONDUTOR COBRE 1,50 MM2 C/ ISOL. PLASTICO 750 V</v>
          </cell>
          <cell r="C891" t="str">
            <v>m</v>
          </cell>
          <cell r="D891">
            <v>1.1399999999999999</v>
          </cell>
        </row>
        <row r="892">
          <cell r="A892" t="str">
            <v>181305U</v>
          </cell>
          <cell r="B892" t="str">
            <v>CONDUTOR COBRE 2,50 MM2 C/ ISOL. PLASTICO 750 V</v>
          </cell>
          <cell r="C892" t="str">
            <v>m</v>
          </cell>
          <cell r="D892">
            <v>1.67</v>
          </cell>
        </row>
        <row r="893">
          <cell r="A893" t="str">
            <v>181306U</v>
          </cell>
          <cell r="B893" t="str">
            <v>CONDUTOR COBRE 4,00 MM2 C/ ISOL. PLASTICO 750 V</v>
          </cell>
          <cell r="C893" t="str">
            <v>m</v>
          </cell>
          <cell r="D893">
            <v>2.44</v>
          </cell>
        </row>
        <row r="894">
          <cell r="A894" t="str">
            <v>181307U</v>
          </cell>
          <cell r="B894" t="str">
            <v>CONDUTOR COBRE 6,00 MM2 C/ ISOL. PLASTICO 750 V</v>
          </cell>
          <cell r="C894" t="str">
            <v>m</v>
          </cell>
          <cell r="D894">
            <v>3.56</v>
          </cell>
        </row>
        <row r="895">
          <cell r="A895" t="str">
            <v>181308U</v>
          </cell>
          <cell r="B895" t="str">
            <v>CONDUTOR COBRE 10,0 MM2 C/ ISOL. PLASTICO 750 V</v>
          </cell>
          <cell r="C895" t="str">
            <v>m</v>
          </cell>
          <cell r="D895">
            <v>5.22</v>
          </cell>
        </row>
        <row r="896">
          <cell r="A896" t="str">
            <v>181309U</v>
          </cell>
          <cell r="B896" t="str">
            <v>CONDUTOR COBRE 16,0 MM2 C/ ISOL. PLASTICO 750 V</v>
          </cell>
          <cell r="C896" t="str">
            <v>m</v>
          </cell>
          <cell r="D896">
            <v>9.07</v>
          </cell>
        </row>
        <row r="897">
          <cell r="A897" t="str">
            <v>181310U</v>
          </cell>
          <cell r="B897" t="str">
            <v>CONDUTOR COBRE 25,0 MM2 C/ ISOL. PLASTICO 750 V</v>
          </cell>
          <cell r="C897" t="str">
            <v>m</v>
          </cell>
          <cell r="D897">
            <v>12.09</v>
          </cell>
        </row>
        <row r="898">
          <cell r="A898" t="str">
            <v>181311U</v>
          </cell>
          <cell r="B898" t="str">
            <v>CONDUTOR COBRE 35,0 MM2 C/ ISOL. PLASTICO 750 V</v>
          </cell>
          <cell r="C898" t="str">
            <v>m</v>
          </cell>
          <cell r="D898">
            <v>15.65</v>
          </cell>
        </row>
        <row r="899">
          <cell r="A899" t="str">
            <v>181312U</v>
          </cell>
          <cell r="B899" t="str">
            <v>CONDUTOR COBRE 50,0 MM2 C/ ISOL. PLASTICO 750 V</v>
          </cell>
          <cell r="C899" t="str">
            <v>m</v>
          </cell>
          <cell r="D899">
            <v>22.25</v>
          </cell>
        </row>
        <row r="900">
          <cell r="A900" t="str">
            <v>181313U</v>
          </cell>
          <cell r="B900" t="str">
            <v>CONDUTOR COBRE 70,0 MM2 C/ ISOL. PLASTICO 750 V</v>
          </cell>
          <cell r="C900" t="str">
            <v>m</v>
          </cell>
          <cell r="D900">
            <v>28.57</v>
          </cell>
        </row>
        <row r="901">
          <cell r="A901" t="str">
            <v>181314U</v>
          </cell>
          <cell r="B901" t="str">
            <v>CONDUTOR COBRE 95,0 MM2 C/ ISOL. PLASTICO 750 V</v>
          </cell>
          <cell r="C901" t="str">
            <v>m</v>
          </cell>
          <cell r="D901">
            <v>37.369999999999997</v>
          </cell>
        </row>
        <row r="902">
          <cell r="A902" t="str">
            <v>181315U</v>
          </cell>
          <cell r="B902" t="str">
            <v>CONDUTOR COBRE 120,0 MM2 C/ ISOL. PLASTICO 750 V</v>
          </cell>
          <cell r="C902" t="str">
            <v>m</v>
          </cell>
          <cell r="D902">
            <v>48.35</v>
          </cell>
        </row>
        <row r="903">
          <cell r="A903" t="str">
            <v>181316U</v>
          </cell>
          <cell r="B903" t="str">
            <v>CONDUTOR COBRE 150,0 MM2 C/ ISOL. PLASTICO 750 V</v>
          </cell>
          <cell r="C903" t="str">
            <v>m</v>
          </cell>
          <cell r="D903">
            <v>56.87</v>
          </cell>
        </row>
        <row r="904">
          <cell r="A904" t="str">
            <v>181317U</v>
          </cell>
          <cell r="B904" t="str">
            <v>CONDUTOR COBRE 185,0 MM2 C/ ISOL. PLASTICO 750 V</v>
          </cell>
          <cell r="C904" t="str">
            <v>m</v>
          </cell>
          <cell r="D904">
            <v>72.53</v>
          </cell>
        </row>
        <row r="905">
          <cell r="A905" t="str">
            <v>181318U</v>
          </cell>
          <cell r="B905" t="str">
            <v>CONDUTOR COBRE 240,0 MM2 C/ ISOL. PLASTICO 750 V</v>
          </cell>
          <cell r="C905" t="str">
            <v>m</v>
          </cell>
          <cell r="D905">
            <v>92.59</v>
          </cell>
        </row>
        <row r="906">
          <cell r="A906" t="str">
            <v>181319U</v>
          </cell>
          <cell r="B906" t="str">
            <v>CONDUTOR COBRE 300,0 MM2 C/ ISOL. PLASTICO 750 V</v>
          </cell>
          <cell r="C906" t="str">
            <v>m</v>
          </cell>
          <cell r="D906">
            <v>112.65</v>
          </cell>
        </row>
        <row r="907">
          <cell r="A907" t="str">
            <v>181320U</v>
          </cell>
          <cell r="B907" t="str">
            <v>CONDUTOR COBRE 400,0 MM2 C/ ISOL. PLASTICO 750 V</v>
          </cell>
          <cell r="C907" t="str">
            <v>m</v>
          </cell>
          <cell r="D907">
            <v>178.32</v>
          </cell>
        </row>
        <row r="908">
          <cell r="A908" t="str">
            <v>181321U</v>
          </cell>
          <cell r="B908" t="str">
            <v>CONDUTOR COBRE 500,0 MM2 C/ ISOL. PLASTICO 750 V</v>
          </cell>
          <cell r="C908" t="str">
            <v>m</v>
          </cell>
          <cell r="D908">
            <v>214.87</v>
          </cell>
        </row>
        <row r="909">
          <cell r="A909" t="str">
            <v>181322U</v>
          </cell>
          <cell r="B909" t="str">
            <v>CONDUTOR DE COBRE NU 4,0 MM2</v>
          </cell>
          <cell r="C909" t="str">
            <v>m</v>
          </cell>
          <cell r="D909">
            <v>2.35</v>
          </cell>
        </row>
        <row r="910">
          <cell r="A910" t="str">
            <v>181323U</v>
          </cell>
          <cell r="B910" t="str">
            <v>CONDUTOR DE COBRE NU 6,0 MM2</v>
          </cell>
          <cell r="C910" t="str">
            <v>m</v>
          </cell>
          <cell r="D910">
            <v>3.38</v>
          </cell>
        </row>
        <row r="911">
          <cell r="A911" t="str">
            <v>181324U</v>
          </cell>
          <cell r="B911" t="str">
            <v>CONDUTOR DE COBRE NU 10,0 MM2</v>
          </cell>
          <cell r="C911" t="str">
            <v>m</v>
          </cell>
          <cell r="D911">
            <v>5.29</v>
          </cell>
        </row>
        <row r="912">
          <cell r="A912" t="str">
            <v>181325U</v>
          </cell>
          <cell r="B912" t="str">
            <v>CONDUTOR DE COBRE NU 16,0 MM2</v>
          </cell>
          <cell r="C912" t="str">
            <v>m</v>
          </cell>
          <cell r="D912">
            <v>8</v>
          </cell>
        </row>
        <row r="913">
          <cell r="A913" t="str">
            <v>181326U</v>
          </cell>
          <cell r="B913" t="str">
            <v>CONDUTOR DE COBRE NU 25,0 MM2</v>
          </cell>
          <cell r="C913" t="str">
            <v>m</v>
          </cell>
          <cell r="D913">
            <v>10.62</v>
          </cell>
        </row>
        <row r="914">
          <cell r="A914" t="str">
            <v>181327U</v>
          </cell>
          <cell r="B914" t="str">
            <v>CONDUTOR DE COBRE NU 35,0 MM2</v>
          </cell>
          <cell r="C914" t="str">
            <v>m</v>
          </cell>
          <cell r="D914">
            <v>13.93</v>
          </cell>
        </row>
        <row r="915">
          <cell r="A915" t="str">
            <v>181328U</v>
          </cell>
          <cell r="B915" t="str">
            <v>CONDUTOR DE COBRE NU 50,0 MM2</v>
          </cell>
          <cell r="C915" t="str">
            <v>m</v>
          </cell>
          <cell r="D915">
            <v>19.5</v>
          </cell>
        </row>
        <row r="916">
          <cell r="A916" t="str">
            <v>181329U</v>
          </cell>
          <cell r="B916" t="str">
            <v>CONDUTOR DE COBRE NU 70,0 MM2</v>
          </cell>
          <cell r="C916" t="str">
            <v>m</v>
          </cell>
          <cell r="D916">
            <v>26.61</v>
          </cell>
        </row>
        <row r="917">
          <cell r="A917" t="str">
            <v>181330U</v>
          </cell>
          <cell r="B917" t="str">
            <v>CONDUTOR DE COBRE NU 95,0 MM2</v>
          </cell>
          <cell r="C917" t="str">
            <v>m</v>
          </cell>
          <cell r="D917">
            <v>35.01</v>
          </cell>
        </row>
        <row r="918">
          <cell r="A918" t="str">
            <v>181331U</v>
          </cell>
          <cell r="B918" t="str">
            <v>CONDUTOR DE COBRE NU 120,0 MM2</v>
          </cell>
          <cell r="C918" t="str">
            <v>m</v>
          </cell>
          <cell r="D918">
            <v>44.03</v>
          </cell>
        </row>
        <row r="919">
          <cell r="A919" t="str">
            <v>181332U</v>
          </cell>
          <cell r="B919" t="str">
            <v>CONDUTOR DE COBRE NU 150,0 MM2</v>
          </cell>
          <cell r="C919" t="str">
            <v>m</v>
          </cell>
          <cell r="D919">
            <v>58.59</v>
          </cell>
        </row>
        <row r="920">
          <cell r="A920" t="str">
            <v>181333U</v>
          </cell>
          <cell r="B920" t="str">
            <v>CONDUTOR DE COBRE NU 185,0 MM2</v>
          </cell>
          <cell r="C920" t="str">
            <v>m</v>
          </cell>
          <cell r="D920">
            <v>75.53</v>
          </cell>
        </row>
        <row r="921">
          <cell r="A921" t="str">
            <v>181334U</v>
          </cell>
          <cell r="B921" t="str">
            <v>CONDUTOR DE COBRE NU 240,0 MM2</v>
          </cell>
          <cell r="C921" t="str">
            <v>m</v>
          </cell>
          <cell r="D921">
            <v>98.87</v>
          </cell>
        </row>
        <row r="922">
          <cell r="A922" t="str">
            <v>181335U</v>
          </cell>
          <cell r="B922" t="str">
            <v>CONDUTOR COBRE 1,50 MM2 C/ ISOL. PLASTICO 1000 V</v>
          </cell>
          <cell r="C922" t="str">
            <v>m</v>
          </cell>
          <cell r="D922">
            <v>1.46</v>
          </cell>
        </row>
        <row r="923">
          <cell r="A923" t="str">
            <v>181336U</v>
          </cell>
          <cell r="B923" t="str">
            <v>CONDUTOR COBRE 2,50 MM2 C/ ISOL. PLASTICO 1000 V</v>
          </cell>
          <cell r="C923" t="str">
            <v>m</v>
          </cell>
          <cell r="D923">
            <v>2.0699999999999998</v>
          </cell>
        </row>
        <row r="924">
          <cell r="A924" t="str">
            <v>181337U</v>
          </cell>
          <cell r="B924" t="str">
            <v>CONDUTOR COBRE 4,00 MM2 C/ ISOL. PLASTICO 1000 V</v>
          </cell>
          <cell r="C924" t="str">
            <v>m</v>
          </cell>
          <cell r="D924">
            <v>3</v>
          </cell>
        </row>
        <row r="925">
          <cell r="A925" t="str">
            <v>181338U</v>
          </cell>
          <cell r="B925" t="str">
            <v>CONDUTOR COBRE 6,00 MM2 C/ ISOL. PLASTICO 1000 V</v>
          </cell>
          <cell r="C925" t="str">
            <v>m</v>
          </cell>
          <cell r="D925">
            <v>4.2</v>
          </cell>
        </row>
        <row r="926">
          <cell r="A926" t="str">
            <v>181339U</v>
          </cell>
          <cell r="B926" t="str">
            <v>CONDUTOR COBRE 10,0 MM2 C/ ISOL. PLASTICO 1000 V</v>
          </cell>
          <cell r="C926" t="str">
            <v>m</v>
          </cell>
          <cell r="D926">
            <v>5.86</v>
          </cell>
        </row>
        <row r="927">
          <cell r="A927" t="str">
            <v>181340U</v>
          </cell>
          <cell r="B927" t="str">
            <v>CONDUTOR COBRE 16,0 MM2 C/ ISOL. PLASTICO 1000 V</v>
          </cell>
          <cell r="C927" t="str">
            <v>m</v>
          </cell>
          <cell r="D927">
            <v>9.61</v>
          </cell>
        </row>
        <row r="928">
          <cell r="A928" t="str">
            <v>181341U</v>
          </cell>
          <cell r="B928" t="str">
            <v>CONDUTOR COBRE 25,0 MM2 C/ ISOL. PLASTICO 1000 V</v>
          </cell>
          <cell r="C928" t="str">
            <v>m</v>
          </cell>
          <cell r="D928">
            <v>12.64</v>
          </cell>
        </row>
        <row r="929">
          <cell r="A929" t="str">
            <v>181342U</v>
          </cell>
          <cell r="B929" t="str">
            <v>CONDUTOR COBRE 35,0 MM2 C/ ISOL. PLASTICO 1000 V</v>
          </cell>
          <cell r="C929" t="str">
            <v>m</v>
          </cell>
          <cell r="D929">
            <v>16.63</v>
          </cell>
        </row>
        <row r="930">
          <cell r="A930" t="str">
            <v>181343U</v>
          </cell>
          <cell r="B930" t="str">
            <v>CONDUTOR COBRE 50,0 MM2 C/ ISOL. PLASTICO 1000 V</v>
          </cell>
          <cell r="C930" t="str">
            <v>m</v>
          </cell>
          <cell r="D930">
            <v>23.35</v>
          </cell>
        </row>
        <row r="931">
          <cell r="A931" t="str">
            <v>181344U</v>
          </cell>
          <cell r="B931" t="str">
            <v>CONDUTOR COBRE 70,0 MM2 C/ ISOL. PLASTICO 1000 V</v>
          </cell>
          <cell r="C931" t="str">
            <v>m</v>
          </cell>
          <cell r="D931">
            <v>30.5</v>
          </cell>
        </row>
        <row r="932">
          <cell r="A932" t="str">
            <v>181345U</v>
          </cell>
          <cell r="B932" t="str">
            <v>CONDUTOR COBRE 95,0 MM2 C/ ISOL. PLASTICO 1000 V</v>
          </cell>
          <cell r="C932" t="str">
            <v>m</v>
          </cell>
          <cell r="D932">
            <v>39.29</v>
          </cell>
        </row>
        <row r="933">
          <cell r="A933" t="str">
            <v>181346U</v>
          </cell>
          <cell r="B933" t="str">
            <v>CONDUTOR COBRE 120,0 MM2 C/ ISOL. PLASTICO 1000 V</v>
          </cell>
          <cell r="C933" t="str">
            <v>m</v>
          </cell>
          <cell r="D933">
            <v>48.35</v>
          </cell>
        </row>
        <row r="934">
          <cell r="A934" t="str">
            <v>181347U</v>
          </cell>
          <cell r="B934" t="str">
            <v>CONDUTOR COBRE 150,0 MM2 C/ ISOL. PLASTICO 1000 V</v>
          </cell>
          <cell r="C934" t="str">
            <v>m</v>
          </cell>
          <cell r="D934">
            <v>59.63</v>
          </cell>
        </row>
        <row r="935">
          <cell r="A935" t="str">
            <v>181348U</v>
          </cell>
          <cell r="B935" t="str">
            <v>CONDUTOR COBRE 185,0 MM2 C/ ISOL. PLASTICO 1000 V</v>
          </cell>
          <cell r="C935" t="str">
            <v>m</v>
          </cell>
          <cell r="D935">
            <v>75.28</v>
          </cell>
        </row>
        <row r="936">
          <cell r="A936" t="str">
            <v>181349U</v>
          </cell>
          <cell r="B936" t="str">
            <v>CONDUTOR COBRE 240,0 MM2 C/ ISOL. PLASTICO 1000 V</v>
          </cell>
          <cell r="C936" t="str">
            <v>m</v>
          </cell>
          <cell r="D936">
            <v>96.44</v>
          </cell>
        </row>
        <row r="937">
          <cell r="A937" t="str">
            <v>181350U</v>
          </cell>
          <cell r="B937" t="str">
            <v>CONDUTOR COBRE 300,0 MM2 C/ ISOL. PLASTICO 1000 V</v>
          </cell>
          <cell r="C937" t="str">
            <v>m</v>
          </cell>
          <cell r="D937">
            <v>122.69</v>
          </cell>
        </row>
        <row r="938">
          <cell r="A938" t="str">
            <v>181351U</v>
          </cell>
          <cell r="B938" t="str">
            <v>CONDUTOR COBRE 400,0 MM2 C/ ISOL. PLASTICO 1000 V</v>
          </cell>
          <cell r="C938" t="str">
            <v>m</v>
          </cell>
          <cell r="D938">
            <v>168.71</v>
          </cell>
        </row>
        <row r="939">
          <cell r="A939" t="str">
            <v>181352U</v>
          </cell>
          <cell r="B939" t="str">
            <v>CONDUTOR COBRE 500,0 MM2 C/ ISOL. PLASTICO 1000 V</v>
          </cell>
          <cell r="C939" t="str">
            <v>m</v>
          </cell>
          <cell r="D939">
            <v>236.85</v>
          </cell>
        </row>
        <row r="940">
          <cell r="A940">
            <v>181500</v>
          </cell>
          <cell r="B940" t="str">
            <v>CAIXAS DE PASSAGEM, INTERRUPTORES E TOMADAS</v>
          </cell>
        </row>
        <row r="941">
          <cell r="A941" t="str">
            <v>181501U</v>
          </cell>
          <cell r="B941" t="str">
            <v>CAIXA MET. 4" X 4" X 2" OCTOGONAL CHAPA 20</v>
          </cell>
          <cell r="C941" t="str">
            <v>un</v>
          </cell>
          <cell r="D941">
            <v>8.27</v>
          </cell>
        </row>
        <row r="942">
          <cell r="A942" t="str">
            <v>181502U</v>
          </cell>
          <cell r="B942" t="str">
            <v>CAIXA MET. 3" X 3" OCTOGONAL CHAPA 20</v>
          </cell>
          <cell r="C942" t="str">
            <v>un</v>
          </cell>
          <cell r="D942">
            <v>7</v>
          </cell>
        </row>
        <row r="943">
          <cell r="A943" t="str">
            <v>181503U</v>
          </cell>
          <cell r="B943" t="str">
            <v>CAIXA MET. 4" X 4" QUADRADA CHAPA 20</v>
          </cell>
          <cell r="C943" t="str">
            <v>un</v>
          </cell>
          <cell r="D943">
            <v>7.12</v>
          </cell>
        </row>
        <row r="944">
          <cell r="A944" t="str">
            <v>181504U</v>
          </cell>
          <cell r="B944" t="str">
            <v>CAIXA MET. 4" X 2" RETANGULAR CHAPA 20</v>
          </cell>
          <cell r="C944" t="str">
            <v>un</v>
          </cell>
          <cell r="D944">
            <v>5.51</v>
          </cell>
        </row>
        <row r="945">
          <cell r="A945" t="str">
            <v>181505U</v>
          </cell>
          <cell r="B945" t="str">
            <v xml:space="preserve">INTERRUPTOR 1 TECLA SIMPLES C/ ESP. 4" X 2" </v>
          </cell>
          <cell r="C945" t="str">
            <v>un</v>
          </cell>
          <cell r="D945">
            <v>12.2</v>
          </cell>
        </row>
        <row r="946">
          <cell r="A946" t="str">
            <v>181506U</v>
          </cell>
          <cell r="B946" t="str">
            <v xml:space="preserve">INTERRUPTOR 2 TECLAS SIMPLES C/ ESP. 4" X 2" </v>
          </cell>
          <cell r="C946" t="str">
            <v>un</v>
          </cell>
          <cell r="D946">
            <v>23.03</v>
          </cell>
        </row>
        <row r="947">
          <cell r="A947" t="str">
            <v>181507U</v>
          </cell>
          <cell r="B947" t="str">
            <v xml:space="preserve">INTERRUPTOR 3 TECLAS SIMPLES C/ ESP. 4" X 2" </v>
          </cell>
          <cell r="C947" t="str">
            <v>un</v>
          </cell>
          <cell r="D947">
            <v>31.89</v>
          </cell>
        </row>
        <row r="948">
          <cell r="A948" t="str">
            <v>181508U</v>
          </cell>
          <cell r="B948" t="str">
            <v>INT.1 TECLA SIMP. C/ TOMADA 110 V -5A ESP. 4"X 2"</v>
          </cell>
          <cell r="C948" t="str">
            <v>un</v>
          </cell>
          <cell r="D948">
            <v>23.93</v>
          </cell>
        </row>
        <row r="949">
          <cell r="A949" t="str">
            <v>181509U</v>
          </cell>
          <cell r="B949" t="str">
            <v xml:space="preserve">INTERRUPTOR 1 TECLA PARALELA C/ ESP. 4" X 2" </v>
          </cell>
          <cell r="C949" t="str">
            <v>un</v>
          </cell>
          <cell r="D949">
            <v>14.45</v>
          </cell>
        </row>
        <row r="950">
          <cell r="A950" t="str">
            <v>181511U</v>
          </cell>
          <cell r="B950" t="str">
            <v>INT. 1 TECLA SIMP. E 1 PARALELA C/ ESP. 4" X 2"</v>
          </cell>
          <cell r="C950" t="str">
            <v>un</v>
          </cell>
          <cell r="D950">
            <v>26.96</v>
          </cell>
        </row>
        <row r="951">
          <cell r="A951" t="str">
            <v>181512U</v>
          </cell>
          <cell r="B951" t="str">
            <v>INT. 2 TECLAS SIMP. E 1 PARALELA C/ ESP. 4" X 2"</v>
          </cell>
          <cell r="C951" t="str">
            <v>un</v>
          </cell>
          <cell r="D951">
            <v>36.950000000000003</v>
          </cell>
        </row>
        <row r="952">
          <cell r="A952" t="str">
            <v>181513U</v>
          </cell>
          <cell r="B952" t="str">
            <v>INTERRUPTOR 2 TECLAS PARALELAS C/ ESP. 4" X 2"</v>
          </cell>
          <cell r="C952" t="str">
            <v>un</v>
          </cell>
          <cell r="D952">
            <v>31.2</v>
          </cell>
        </row>
        <row r="953">
          <cell r="A953" t="str">
            <v>181514U</v>
          </cell>
          <cell r="B953" t="str">
            <v>TOMADA CORRENTE MONOF. C/ ESP. 4" X 2" 110 V - 5A</v>
          </cell>
          <cell r="C953" t="str">
            <v>un</v>
          </cell>
          <cell r="D953">
            <v>12.38</v>
          </cell>
        </row>
        <row r="954">
          <cell r="A954" t="str">
            <v>181515U</v>
          </cell>
          <cell r="B954" t="str">
            <v>TOMADA CORRENTE BIF. C/ ESP. 4" X 2" 220 V - 10 A</v>
          </cell>
          <cell r="C954" t="str">
            <v>un</v>
          </cell>
          <cell r="D954">
            <v>18.18</v>
          </cell>
        </row>
        <row r="955">
          <cell r="A955" t="str">
            <v>181516U</v>
          </cell>
          <cell r="B955" t="str">
            <v>ESPELHO EM BAQUELITE 4" X 2" COM FURO CENTRAL</v>
          </cell>
          <cell r="C955" t="str">
            <v>un</v>
          </cell>
          <cell r="D955">
            <v>3.06</v>
          </cell>
        </row>
        <row r="956">
          <cell r="A956" t="str">
            <v>181517U</v>
          </cell>
          <cell r="B956" t="str">
            <v>ESPELHO EM BAQUELITE 4" X 2" CEGO</v>
          </cell>
          <cell r="C956" t="str">
            <v>un</v>
          </cell>
          <cell r="D956">
            <v>3.06</v>
          </cell>
        </row>
        <row r="957">
          <cell r="A957" t="str">
            <v>181518U</v>
          </cell>
          <cell r="B957" t="str">
            <v>ESPELHO EM BAQUELITE 4" X 4" COM FURO CENTRAL</v>
          </cell>
          <cell r="C957" t="str">
            <v>un</v>
          </cell>
          <cell r="D957">
            <v>6.06</v>
          </cell>
        </row>
        <row r="958">
          <cell r="A958" t="str">
            <v>181519U</v>
          </cell>
          <cell r="B958" t="str">
            <v>ESPELHO EM BAQUELITE 4" X 4" CEGO</v>
          </cell>
          <cell r="C958" t="str">
            <v>un</v>
          </cell>
          <cell r="D958">
            <v>6.06</v>
          </cell>
        </row>
        <row r="959">
          <cell r="A959" t="str">
            <v>181520U</v>
          </cell>
          <cell r="B959" t="str">
            <v>TOMADA DE TELEFONE C/ ESP. 4" X 4" PADRAO TELEPAR</v>
          </cell>
          <cell r="C959" t="str">
            <v>un</v>
          </cell>
          <cell r="D959">
            <v>19.96</v>
          </cell>
        </row>
        <row r="960">
          <cell r="A960" t="str">
            <v>181521U</v>
          </cell>
          <cell r="B960" t="str">
            <v>CAIXA DE PASSAGEM DE CONCRETO 30 X 30 X 30 CM</v>
          </cell>
          <cell r="C960" t="str">
            <v>un</v>
          </cell>
          <cell r="D960">
            <v>31.28</v>
          </cell>
        </row>
        <row r="961">
          <cell r="A961" t="str">
            <v>181522U</v>
          </cell>
          <cell r="B961" t="str">
            <v>CX.PASSAGEM ALV. 30 X 30 X 30 CM TAMPA DE CONCRETO</v>
          </cell>
          <cell r="C961" t="str">
            <v>un</v>
          </cell>
          <cell r="D961">
            <v>61.41</v>
          </cell>
        </row>
        <row r="962">
          <cell r="A962" t="str">
            <v>181523U</v>
          </cell>
          <cell r="B962" t="str">
            <v>CX.PASSAGEM ALV. 40 X 40 X 40 CM TAMPA DE CONCRETO</v>
          </cell>
          <cell r="C962" t="str">
            <v>un</v>
          </cell>
          <cell r="D962">
            <v>95.9</v>
          </cell>
        </row>
        <row r="963">
          <cell r="A963" t="str">
            <v>181524U</v>
          </cell>
          <cell r="B963" t="str">
            <v>CX.PASSAGEM ALV. 50 X 50 X 50 CM TAMPA DE CONCRETO</v>
          </cell>
          <cell r="C963" t="str">
            <v>un</v>
          </cell>
          <cell r="D963">
            <v>145.97</v>
          </cell>
        </row>
        <row r="964">
          <cell r="A964" t="str">
            <v>181525U</v>
          </cell>
          <cell r="B964" t="str">
            <v>CX.PASSAGEM ALV. 60 X 60 X 60 CM TAMPA DE CONCRETO</v>
          </cell>
          <cell r="C964" t="str">
            <v>un</v>
          </cell>
          <cell r="D964">
            <v>199.13</v>
          </cell>
        </row>
        <row r="965">
          <cell r="A965" t="str">
            <v>181526U</v>
          </cell>
          <cell r="B965" t="str">
            <v>CX.PASSAGEM ALV. 80 X 80 X 80 CM TAMPA DE CONCRETO</v>
          </cell>
          <cell r="C965" t="str">
            <v>un</v>
          </cell>
          <cell r="D965">
            <v>349.64</v>
          </cell>
        </row>
        <row r="966">
          <cell r="A966" t="str">
            <v>181527U</v>
          </cell>
          <cell r="B966" t="str">
            <v>CX. PAS. ALV. 1,00MX1,00MX1,00 M TAMPA DE CONCRETO</v>
          </cell>
          <cell r="C966" t="str">
            <v>un</v>
          </cell>
          <cell r="D966">
            <v>573.22</v>
          </cell>
        </row>
        <row r="967">
          <cell r="A967" t="str">
            <v>181551U</v>
          </cell>
          <cell r="B967" t="str">
            <v>INT. 2 TECLAS SIMPLES C/ TOMADA MONOF. ESP. 4"X2"</v>
          </cell>
          <cell r="C967" t="str">
            <v>un</v>
          </cell>
          <cell r="D967">
            <v>31.89</v>
          </cell>
        </row>
        <row r="968">
          <cell r="A968">
            <v>181700</v>
          </cell>
          <cell r="B968" t="str">
            <v>LUMINÁRIAS</v>
          </cell>
        </row>
        <row r="969">
          <cell r="A969" t="str">
            <v>181701U</v>
          </cell>
          <cell r="B969" t="str">
            <v>LUMINARIA FLUORESCENTE 2 X 40 W COMPLETA</v>
          </cell>
          <cell r="C969" t="str">
            <v>un</v>
          </cell>
          <cell r="D969">
            <v>72.290000000000006</v>
          </cell>
        </row>
        <row r="970">
          <cell r="A970" t="str">
            <v>181702U</v>
          </cell>
          <cell r="B970" t="str">
            <v>LUMINARIA FLUORESCENTE 4 X 40 W COMPLETA</v>
          </cell>
          <cell r="C970" t="str">
            <v>un</v>
          </cell>
          <cell r="D970">
            <v>126.58</v>
          </cell>
        </row>
        <row r="971">
          <cell r="A971" t="str">
            <v>181703U</v>
          </cell>
          <cell r="B971" t="str">
            <v>LUMINARIA FLUORESCENTE 2 X 20 W COMPLETA</v>
          </cell>
          <cell r="C971" t="str">
            <v>un</v>
          </cell>
          <cell r="D971">
            <v>65.08</v>
          </cell>
        </row>
        <row r="972">
          <cell r="A972" t="str">
            <v>181704U</v>
          </cell>
          <cell r="B972" t="str">
            <v>LUMINARIA FLUORESCENTE 4 X 20 W COMPLETA</v>
          </cell>
          <cell r="C972" t="str">
            <v>un</v>
          </cell>
          <cell r="D972">
            <v>113.34</v>
          </cell>
        </row>
        <row r="973">
          <cell r="A973" t="str">
            <v>181705U</v>
          </cell>
          <cell r="B973" t="str">
            <v>LUMINARIA TIPO DROPS 60 W / 130 V COMPLETA</v>
          </cell>
          <cell r="C973" t="str">
            <v>un</v>
          </cell>
          <cell r="D973">
            <v>58.77</v>
          </cell>
        </row>
        <row r="974">
          <cell r="A974" t="str">
            <v>181706U</v>
          </cell>
          <cell r="B974" t="str">
            <v>LUMINARIA TIPO DROPS 100 W / 130 V COMPLETA</v>
          </cell>
          <cell r="C974" t="str">
            <v>un</v>
          </cell>
          <cell r="D974">
            <v>59.49</v>
          </cell>
        </row>
        <row r="975">
          <cell r="A975" t="str">
            <v>181707U</v>
          </cell>
          <cell r="B975" t="str">
            <v>LUMINARIA TIPO DROPS 150 W / 130 V COMPLETA</v>
          </cell>
          <cell r="C975" t="str">
            <v>un</v>
          </cell>
          <cell r="D975">
            <v>60.82</v>
          </cell>
        </row>
        <row r="976">
          <cell r="A976" t="str">
            <v>181708U</v>
          </cell>
          <cell r="B976" t="str">
            <v>LUMINARIA TIPO PRATO IND. 60 W D= 35 CM COMPLETA</v>
          </cell>
          <cell r="C976" t="str">
            <v>un</v>
          </cell>
          <cell r="D976">
            <v>57.51</v>
          </cell>
        </row>
        <row r="977">
          <cell r="A977" t="str">
            <v>181709U</v>
          </cell>
          <cell r="B977" t="str">
            <v>LUMINARIA TIPO PRATO IND. 100 W D= 35 CM COMPLETA</v>
          </cell>
          <cell r="C977" t="str">
            <v>un</v>
          </cell>
          <cell r="D977">
            <v>58.23</v>
          </cell>
        </row>
        <row r="978">
          <cell r="A978">
            <v>181900</v>
          </cell>
          <cell r="B978" t="str">
            <v>PONTOS</v>
          </cell>
        </row>
        <row r="979">
          <cell r="A979" t="str">
            <v>181901U</v>
          </cell>
          <cell r="B979" t="str">
            <v>PONTO DE LUZ</v>
          </cell>
          <cell r="C979" t="str">
            <v>un</v>
          </cell>
          <cell r="D979">
            <v>113.99</v>
          </cell>
        </row>
        <row r="980">
          <cell r="A980" t="str">
            <v>181902U</v>
          </cell>
          <cell r="B980" t="str">
            <v>PONTO DE TOMADA MONOFASICA</v>
          </cell>
          <cell r="C980" t="str">
            <v>un</v>
          </cell>
          <cell r="D980">
            <v>45.87</v>
          </cell>
        </row>
        <row r="981">
          <cell r="A981" t="str">
            <v>181903U</v>
          </cell>
          <cell r="B981" t="str">
            <v>PONTO DE TOMADA BIFASICA</v>
          </cell>
          <cell r="C981" t="str">
            <v>un</v>
          </cell>
          <cell r="D981">
            <v>55.96</v>
          </cell>
        </row>
        <row r="982">
          <cell r="A982">
            <v>190000</v>
          </cell>
          <cell r="B982" t="str">
            <v>INSTALAÇÕES TELEFÔNICAS</v>
          </cell>
        </row>
        <row r="983">
          <cell r="A983">
            <v>190200</v>
          </cell>
          <cell r="B983" t="str">
            <v>QUADROS PARA TELEFONE</v>
          </cell>
        </row>
        <row r="984">
          <cell r="A984" t="str">
            <v>190201U</v>
          </cell>
          <cell r="B984" t="str">
            <v>QUADRO DIST. P/ TELEFONE N. 2 (20 X 20 X 12 CM)</v>
          </cell>
          <cell r="C984" t="str">
            <v>un</v>
          </cell>
          <cell r="D984">
            <v>70.56</v>
          </cell>
        </row>
        <row r="985">
          <cell r="A985" t="str">
            <v>190202U</v>
          </cell>
          <cell r="B985" t="str">
            <v>QUADRO DIST. P/ TELEFONE N. 3 (40 X 40 X 12 CM)</v>
          </cell>
          <cell r="C985" t="str">
            <v>un</v>
          </cell>
          <cell r="D985">
            <v>118.11</v>
          </cell>
        </row>
        <row r="986">
          <cell r="A986" t="str">
            <v>190203U</v>
          </cell>
          <cell r="B986" t="str">
            <v>QUADRO DIST. P/ TELEFONE N. 4 (60 X 60 X 12 CM)</v>
          </cell>
          <cell r="C986" t="str">
            <v>un</v>
          </cell>
          <cell r="D986">
            <v>200.1</v>
          </cell>
        </row>
        <row r="987">
          <cell r="A987" t="str">
            <v>190204U</v>
          </cell>
          <cell r="B987" t="str">
            <v>QUADRO DIST. P/ TELEFONE N. 5 (80 X 80 X 12 CM)</v>
          </cell>
          <cell r="C987" t="str">
            <v>un</v>
          </cell>
          <cell r="D987">
            <v>285.29000000000002</v>
          </cell>
        </row>
        <row r="988">
          <cell r="A988" t="str">
            <v>190205U</v>
          </cell>
          <cell r="B988" t="str">
            <v>QUADRO DIST. P/ TELEFONE N. 6 (120 X 120 X 12 CM)</v>
          </cell>
          <cell r="C988" t="str">
            <v>un</v>
          </cell>
          <cell r="D988">
            <v>644.67999999999995</v>
          </cell>
        </row>
        <row r="989">
          <cell r="A989">
            <v>190600</v>
          </cell>
          <cell r="B989" t="str">
            <v>CAIXAS DE PASSAGEM</v>
          </cell>
        </row>
        <row r="990">
          <cell r="A990" t="str">
            <v>190601U</v>
          </cell>
          <cell r="B990" t="str">
            <v>CX. PAS. ALV. 60X35X50CM TIPO R-1 C/ TAMPA F0F0</v>
          </cell>
          <cell r="C990" t="str">
            <v>un</v>
          </cell>
          <cell r="D990">
            <v>285.62</v>
          </cell>
        </row>
        <row r="991">
          <cell r="A991" t="str">
            <v>190602U</v>
          </cell>
          <cell r="B991" t="str">
            <v>CX. PAS. ALV. 107X52X50CM TIPO R-2 C/ TAMPA F0F0</v>
          </cell>
          <cell r="C991" t="str">
            <v>un</v>
          </cell>
          <cell r="D991">
            <v>539.16</v>
          </cell>
        </row>
        <row r="992">
          <cell r="A992">
            <v>200000</v>
          </cell>
          <cell r="B992" t="str">
            <v>OBRAS COMPLEMETARES</v>
          </cell>
        </row>
        <row r="993">
          <cell r="A993">
            <v>200100</v>
          </cell>
          <cell r="B993" t="str">
            <v>MUROS E ALAMBRADOS</v>
          </cell>
        </row>
        <row r="994">
          <cell r="A994" t="str">
            <v>200101U</v>
          </cell>
          <cell r="B994" t="str">
            <v>MURO PRE-FABRICADO H= 1,50 M</v>
          </cell>
          <cell r="C994" t="str">
            <v>m</v>
          </cell>
          <cell r="D994">
            <v>63.16</v>
          </cell>
        </row>
        <row r="995">
          <cell r="A995" t="str">
            <v>200102U</v>
          </cell>
          <cell r="B995" t="str">
            <v>MURO PRE-FABRICADO H= 1,80 M</v>
          </cell>
          <cell r="C995" t="str">
            <v>m</v>
          </cell>
          <cell r="D995">
            <v>72.790000000000006</v>
          </cell>
        </row>
        <row r="996">
          <cell r="A996" t="str">
            <v>200103U</v>
          </cell>
          <cell r="B996" t="str">
            <v>ALAMB. C/ MOURAO CONCRETO E TELA FIO 14 H= 2,20 M</v>
          </cell>
          <cell r="C996" t="str">
            <v>m</v>
          </cell>
          <cell r="D996">
            <v>93.32</v>
          </cell>
        </row>
        <row r="997">
          <cell r="A997" t="str">
            <v>200104U</v>
          </cell>
          <cell r="B997" t="str">
            <v>MURO DE ALV. 1/2 VEZ H=1,50 M PADRAO PMC S/REVEST.</v>
          </cell>
          <cell r="C997" t="str">
            <v>m</v>
          </cell>
          <cell r="D997">
            <v>212.54</v>
          </cell>
        </row>
        <row r="998">
          <cell r="A998" t="str">
            <v>200105U</v>
          </cell>
          <cell r="B998" t="str">
            <v>MURO ALV.1/2 VEZ H=1,50M REVEST.CHAP.E EMB 2 FACES.</v>
          </cell>
          <cell r="C998" t="str">
            <v>m</v>
          </cell>
          <cell r="D998">
            <v>281.04000000000002</v>
          </cell>
        </row>
        <row r="999">
          <cell r="A999" t="str">
            <v>200106U</v>
          </cell>
          <cell r="B999" t="str">
            <v>MURO DE ALV. 1/2 VEZ H=1,80 M PADRAO PMC S/REVEST.</v>
          </cell>
          <cell r="C999" t="str">
            <v>m</v>
          </cell>
          <cell r="D999">
            <v>235.04</v>
          </cell>
        </row>
        <row r="1000">
          <cell r="A1000" t="str">
            <v>200107U</v>
          </cell>
          <cell r="B1000" t="str">
            <v>MURO ALV.1/2 VEZ H=1,80M REVEST.CHAP.E EMB 2 FACES</v>
          </cell>
          <cell r="C1000" t="str">
            <v>m</v>
          </cell>
          <cell r="D1000">
            <v>317.25</v>
          </cell>
        </row>
        <row r="1001">
          <cell r="A1001" t="str">
            <v>200108U</v>
          </cell>
          <cell r="B1001" t="str">
            <v>MURO DE ALV. 1/2 VEZ H=2,00 M PADRAO PMC S/REVEST.</v>
          </cell>
          <cell r="C1001" t="str">
            <v>m</v>
          </cell>
          <cell r="D1001">
            <v>250.55</v>
          </cell>
        </row>
        <row r="1002">
          <cell r="A1002" t="str">
            <v>200109U</v>
          </cell>
          <cell r="B1002" t="str">
            <v>MURO ALV.1/2 VEZ H=2,00M REVEST.CHAP.E EMB.2 FACES</v>
          </cell>
          <cell r="C1002" t="str">
            <v>m</v>
          </cell>
          <cell r="D1002">
            <v>341.88</v>
          </cell>
        </row>
        <row r="1003">
          <cell r="A1003" t="str">
            <v>200110U</v>
          </cell>
          <cell r="B1003" t="str">
            <v>MURO DE ALV. 1/2 VEZ H=2,50 M PADRAO PMC S/REVEST.</v>
          </cell>
          <cell r="C1003" t="str">
            <v>m</v>
          </cell>
          <cell r="D1003">
            <v>289.14</v>
          </cell>
        </row>
        <row r="1004">
          <cell r="A1004" t="str">
            <v>200111U</v>
          </cell>
          <cell r="B1004" t="str">
            <v>MURO ALV.1/2 VEZ H=2,50M REVEST.CHAP.E EMB.2 FACES</v>
          </cell>
          <cell r="C1004" t="str">
            <v>m</v>
          </cell>
          <cell r="D1004">
            <v>403.32</v>
          </cell>
        </row>
        <row r="1005">
          <cell r="A1005" t="str">
            <v>200112U</v>
          </cell>
          <cell r="B1005" t="str">
            <v>MURO PALITO DE CONC. H=2,00 M EST. E VIGA BALDRAME</v>
          </cell>
          <cell r="C1005" t="str">
            <v>m</v>
          </cell>
          <cell r="D1005">
            <v>234.33</v>
          </cell>
        </row>
        <row r="1006">
          <cell r="A1006" t="str">
            <v>200113U</v>
          </cell>
          <cell r="B1006" t="str">
            <v>MURO PALITO CONCRETO H=1,80M EST. EVIGA BALDRAME</v>
          </cell>
          <cell r="C1006" t="str">
            <v>m</v>
          </cell>
          <cell r="D1006">
            <v>228.43</v>
          </cell>
        </row>
        <row r="1007">
          <cell r="A1007" t="str">
            <v>200114U</v>
          </cell>
          <cell r="B1007" t="str">
            <v>FORN.E COLOC. MOURAO DE CONC. TIPO ALAMB. H=3,2M</v>
          </cell>
          <cell r="C1007" t="str">
            <v>un</v>
          </cell>
          <cell r="D1007">
            <v>45.48</v>
          </cell>
        </row>
        <row r="1008">
          <cell r="A1008" t="str">
            <v>200115U</v>
          </cell>
          <cell r="B1008" t="str">
            <v>FORN. E COLOC. TELA TIPO ALAMB. MALHA 2" FIO 14</v>
          </cell>
          <cell r="C1008" t="str">
            <v>m2</v>
          </cell>
          <cell r="D1008">
            <v>21.63</v>
          </cell>
        </row>
        <row r="1009">
          <cell r="A1009" t="str">
            <v>200116U</v>
          </cell>
          <cell r="B1009" t="str">
            <v>FORN. E COLOC. TELA TIPO ALAMB. MALHA 2" FIO 12</v>
          </cell>
          <cell r="C1009" t="str">
            <v>m2</v>
          </cell>
          <cell r="D1009">
            <v>26.44</v>
          </cell>
        </row>
        <row r="1010">
          <cell r="A1010" t="str">
            <v>200117U</v>
          </cell>
          <cell r="B1010" t="str">
            <v>FORN. E COLOCACAO DE ARAME LISO GALVANIZADO 14</v>
          </cell>
          <cell r="C1010" t="str">
            <v>m</v>
          </cell>
          <cell r="D1010">
            <v>0.55000000000000004</v>
          </cell>
        </row>
        <row r="1011">
          <cell r="A1011" t="str">
            <v>200118U</v>
          </cell>
          <cell r="B1011" t="str">
            <v>FORN. E COLOCACAO DE ARAME LISO GALVANIZADO 12</v>
          </cell>
          <cell r="C1011" t="str">
            <v>m</v>
          </cell>
          <cell r="D1011">
            <v>0.69</v>
          </cell>
        </row>
        <row r="1012">
          <cell r="A1012" t="str">
            <v>200119U</v>
          </cell>
          <cell r="B1012" t="str">
            <v>FORN. E COLOCACAO DE ARAME LISO GALVANIZADO 10</v>
          </cell>
          <cell r="C1012" t="str">
            <v>m</v>
          </cell>
          <cell r="D1012">
            <v>0.89</v>
          </cell>
        </row>
        <row r="1013">
          <cell r="A1013" t="str">
            <v>200120U</v>
          </cell>
          <cell r="B1013" t="str">
            <v>FORN. E COLOCACAO DE ARAME FARPADO</v>
          </cell>
          <cell r="C1013" t="str">
            <v>m</v>
          </cell>
          <cell r="D1013">
            <v>0.69</v>
          </cell>
        </row>
        <row r="1014">
          <cell r="A1014">
            <v>200200</v>
          </cell>
          <cell r="B1014" t="str">
            <v>GRADIS E PORTÕES</v>
          </cell>
        </row>
        <row r="1015">
          <cell r="A1015" t="str">
            <v>200201U</v>
          </cell>
          <cell r="B1015" t="str">
            <v>PORTAO TUBO F.G. E TELA GALVANIZADA 1,00 X 1,80 M</v>
          </cell>
          <cell r="C1015" t="str">
            <v>un</v>
          </cell>
          <cell r="D1015">
            <v>273.83999999999997</v>
          </cell>
        </row>
        <row r="1016">
          <cell r="A1016" t="str">
            <v>200202U</v>
          </cell>
          <cell r="B1016" t="str">
            <v>PORTAO TUBO F.G. E TELA GALVANIZADA 3,00 X 1,80 M</v>
          </cell>
          <cell r="C1016" t="str">
            <v>un</v>
          </cell>
          <cell r="D1016">
            <v>821.51</v>
          </cell>
        </row>
        <row r="1017">
          <cell r="A1017" t="str">
            <v>200203U</v>
          </cell>
          <cell r="B1017" t="str">
            <v>PORTAO EM FERRO 1/2"</v>
          </cell>
          <cell r="C1017" t="str">
            <v>m2</v>
          </cell>
          <cell r="D1017">
            <v>158.15</v>
          </cell>
        </row>
        <row r="1018">
          <cell r="A1018" t="str">
            <v>200204U</v>
          </cell>
          <cell r="B1018" t="str">
            <v>GRADIL EM FERRO LAMINADO REDONDO 1/2"</v>
          </cell>
          <cell r="C1018" t="str">
            <v>m2</v>
          </cell>
          <cell r="D1018">
            <v>158.15</v>
          </cell>
        </row>
        <row r="1019">
          <cell r="A1019">
            <v>200300</v>
          </cell>
          <cell r="B1019" t="str">
            <v>PAVIMENTAÇÃO EXTERNA</v>
          </cell>
        </row>
        <row r="1020">
          <cell r="A1020" t="str">
            <v>200301U</v>
          </cell>
          <cell r="B1020" t="str">
            <v>PISO DE CONCRETO DESEMPENADO E= 7 CM</v>
          </cell>
          <cell r="C1020" t="str">
            <v>m2</v>
          </cell>
          <cell r="D1020">
            <v>51.79</v>
          </cell>
        </row>
        <row r="1021">
          <cell r="A1021" t="str">
            <v>200302U</v>
          </cell>
          <cell r="B1021" t="str">
            <v>LAJOTA PRE-MOLDADA DE CONCRETO 45 X 45 X 05 CM</v>
          </cell>
          <cell r="C1021" t="str">
            <v>m2</v>
          </cell>
          <cell r="D1021">
            <v>44.26</v>
          </cell>
        </row>
        <row r="1022">
          <cell r="A1022" t="str">
            <v>200303U</v>
          </cell>
          <cell r="B1022" t="str">
            <v>FINCADINHA DE CONCRETO 45 X 22,5 X O5 CM</v>
          </cell>
          <cell r="C1022" t="str">
            <v>m</v>
          </cell>
          <cell r="D1022">
            <v>15.83</v>
          </cell>
        </row>
        <row r="1023">
          <cell r="A1023" t="str">
            <v>200304U</v>
          </cell>
          <cell r="B1023" t="str">
            <v>FINCADINHA DE CONCRETO MOLDADA IN-LOCO 7 X 20 CM</v>
          </cell>
          <cell r="C1023" t="str">
            <v>m</v>
          </cell>
          <cell r="D1023">
            <v>22.41</v>
          </cell>
        </row>
        <row r="1024">
          <cell r="A1024">
            <v>200400</v>
          </cell>
          <cell r="B1024" t="str">
            <v>PAISAGISMO E AJARDINAMENTO</v>
          </cell>
        </row>
        <row r="1025">
          <cell r="A1025" t="str">
            <v>200401U</v>
          </cell>
          <cell r="B1025" t="str">
            <v>FORNECIMENTO E ASSENTAMENTO DE GRAMA EM LEIVAS</v>
          </cell>
          <cell r="C1025" t="str">
            <v>m2</v>
          </cell>
          <cell r="D1025">
            <v>7.82</v>
          </cell>
        </row>
        <row r="1026">
          <cell r="A1026" t="str">
            <v>200402U</v>
          </cell>
          <cell r="B1026" t="str">
            <v>FORNECIMENTO E ESPALHAMENTO DE AREIA</v>
          </cell>
          <cell r="C1026" t="str">
            <v>m3</v>
          </cell>
          <cell r="D1026">
            <v>92.86</v>
          </cell>
        </row>
        <row r="1027">
          <cell r="A1027" t="str">
            <v>200403U</v>
          </cell>
          <cell r="B1027" t="str">
            <v>FORNECIMENTO E ESPALHAMENTO DE PEDRISCO</v>
          </cell>
          <cell r="C1027" t="str">
            <v>m3</v>
          </cell>
          <cell r="D1027">
            <v>83.11</v>
          </cell>
        </row>
        <row r="1028">
          <cell r="A1028" t="str">
            <v>200404U</v>
          </cell>
          <cell r="B1028" t="str">
            <v>REGULARIZACAO E COMPACTACAO MANUAL DE PASSEIOS</v>
          </cell>
          <cell r="C1028" t="str">
            <v>m2</v>
          </cell>
          <cell r="D1028">
            <v>3.42</v>
          </cell>
        </row>
        <row r="1029">
          <cell r="A1029" t="str">
            <v>200405U</v>
          </cell>
          <cell r="B1029" t="str">
            <v>FORNECIMENTO E PLANTIO DE ARVORE IPE AMARELO</v>
          </cell>
          <cell r="C1029" t="str">
            <v>un</v>
          </cell>
          <cell r="D1029">
            <v>38.700000000000003</v>
          </cell>
        </row>
        <row r="1030">
          <cell r="A1030" t="str">
            <v>200406U</v>
          </cell>
          <cell r="B1030" t="str">
            <v>FORNECIMENTO E PLANTIO DE ARVORE ACER</v>
          </cell>
          <cell r="C1030" t="str">
            <v>un</v>
          </cell>
          <cell r="D1030">
            <v>38.700000000000003</v>
          </cell>
        </row>
        <row r="1031">
          <cell r="A1031" t="str">
            <v>200407U</v>
          </cell>
          <cell r="B1031" t="str">
            <v>FORNECIMENTO E PLANTIO DE ARVORE ESTREMOSA</v>
          </cell>
          <cell r="C1031" t="str">
            <v>un</v>
          </cell>
          <cell r="D1031">
            <v>38.700000000000003</v>
          </cell>
        </row>
        <row r="1032">
          <cell r="A1032" t="str">
            <v>200408U</v>
          </cell>
          <cell r="B1032" t="str">
            <v>FORNECIMENTO E PLANTIO DE ARVORE PLATANOS</v>
          </cell>
          <cell r="C1032" t="str">
            <v>un</v>
          </cell>
          <cell r="D1032">
            <v>38.700000000000003</v>
          </cell>
        </row>
        <row r="1033">
          <cell r="A1033" t="str">
            <v>200409U</v>
          </cell>
          <cell r="B1033" t="str">
            <v>FORNECIMENTO E PLANTIO DE ARVORE QUARESMEIRA</v>
          </cell>
          <cell r="C1033" t="str">
            <v>un</v>
          </cell>
          <cell r="D1033">
            <v>38.700000000000003</v>
          </cell>
        </row>
        <row r="1034">
          <cell r="A1034" t="str">
            <v>200410U</v>
          </cell>
          <cell r="B1034" t="str">
            <v>FORNECIMENTO E PLANTIO DE ARVORE TIPUANA</v>
          </cell>
          <cell r="C1034" t="str">
            <v>un</v>
          </cell>
          <cell r="D1034">
            <v>38.700000000000003</v>
          </cell>
        </row>
        <row r="1035">
          <cell r="A1035" t="str">
            <v>200411U</v>
          </cell>
          <cell r="B1035" t="str">
            <v>FORNECIMENTO E PLANTIO DE AZALEA SIMPLES</v>
          </cell>
          <cell r="C1035" t="str">
            <v>un</v>
          </cell>
          <cell r="D1035">
            <v>18.05</v>
          </cell>
        </row>
        <row r="1036">
          <cell r="A1036" t="str">
            <v>200412U</v>
          </cell>
          <cell r="B1036" t="str">
            <v>FORNECIMENTO E PLANTIO DE AZALEA DOBRADA</v>
          </cell>
          <cell r="C1036" t="str">
            <v>un</v>
          </cell>
          <cell r="D1036">
            <v>20.45</v>
          </cell>
        </row>
        <row r="1037">
          <cell r="A1037" t="str">
            <v>200413U</v>
          </cell>
          <cell r="B1037" t="str">
            <v>FORN. E PLANTIO DE HEMEROCALLIS (LIRIO AMARELO )</v>
          </cell>
          <cell r="C1037" t="str">
            <v>un</v>
          </cell>
          <cell r="D1037">
            <v>11.51</v>
          </cell>
        </row>
        <row r="1038">
          <cell r="A1038">
            <v>200500</v>
          </cell>
          <cell r="B1038" t="str">
            <v>EQUIPAMENTOS PLAY GROUND</v>
          </cell>
        </row>
        <row r="1039">
          <cell r="A1039" t="str">
            <v>200501U</v>
          </cell>
          <cell r="B1039" t="str">
            <v>ESCORREGADOR METALICO COM 2,00 M</v>
          </cell>
          <cell r="C1039" t="str">
            <v>un</v>
          </cell>
          <cell r="D1039">
            <v>638.66999999999996</v>
          </cell>
        </row>
        <row r="1040">
          <cell r="A1040" t="str">
            <v>200502U</v>
          </cell>
          <cell r="B1040" t="str">
            <v>GAIOLA CILINDRICA 1,50 X 2,00 M</v>
          </cell>
          <cell r="C1040" t="str">
            <v>un</v>
          </cell>
          <cell r="D1040">
            <v>841.87</v>
          </cell>
        </row>
        <row r="1041">
          <cell r="A1041" t="str">
            <v>200503U</v>
          </cell>
          <cell r="B1041" t="str">
            <v>LABIRINTO 1,50 X 1,50 X 2,00 M</v>
          </cell>
          <cell r="C1041" t="str">
            <v>un</v>
          </cell>
          <cell r="D1041">
            <v>1004.41</v>
          </cell>
        </row>
        <row r="1042">
          <cell r="A1042" t="str">
            <v>200504U</v>
          </cell>
          <cell r="B1042" t="str">
            <v>APARELHO COM 3 GANGORRAS COMP:2,00 M (METALICO)</v>
          </cell>
          <cell r="C1042" t="str">
            <v>un</v>
          </cell>
          <cell r="D1042">
            <v>844.4</v>
          </cell>
        </row>
        <row r="1043">
          <cell r="A1043" t="str">
            <v>200505U</v>
          </cell>
          <cell r="B1043" t="str">
            <v>APARELHO COM 2 GANGORRAS COMP:2,00 M (METALICO)</v>
          </cell>
          <cell r="C1043" t="str">
            <v>un</v>
          </cell>
          <cell r="D1043">
            <v>661.52</v>
          </cell>
        </row>
        <row r="1044">
          <cell r="A1044" t="str">
            <v>200506U</v>
          </cell>
          <cell r="B1044" t="str">
            <v>FORN.INST TABELA BASQ.COMP. NAVAL 1,8X1,2M C/PINT.</v>
          </cell>
          <cell r="C1044" t="str">
            <v>un</v>
          </cell>
          <cell r="D1044">
            <v>485.33</v>
          </cell>
        </row>
        <row r="1045">
          <cell r="A1045" t="str">
            <v>200507U</v>
          </cell>
          <cell r="B1045" t="str">
            <v>FORN. E COLOCACAO DE ARO PARA TABELA DE BASQUETE</v>
          </cell>
          <cell r="C1045" t="str">
            <v>un</v>
          </cell>
          <cell r="D1045">
            <v>132.03</v>
          </cell>
        </row>
        <row r="1046">
          <cell r="A1046" t="str">
            <v>200508U</v>
          </cell>
          <cell r="B1046" t="str">
            <v>TUBO F.G.2" H= 3,20 M, ESTICADOR E GANCHO P/ VOLEI</v>
          </cell>
          <cell r="C1046" t="str">
            <v>un</v>
          </cell>
          <cell r="D1046">
            <v>396.08</v>
          </cell>
        </row>
        <row r="1047">
          <cell r="A1047" t="str">
            <v>200509U</v>
          </cell>
          <cell r="B1047" t="str">
            <v>FORN. COLOC TRAVE TUBO F.G. 2" FUTEBOL DE SALAO</v>
          </cell>
          <cell r="C1047" t="str">
            <v>un</v>
          </cell>
          <cell r="D1047">
            <v>639.63</v>
          </cell>
        </row>
        <row r="1048">
          <cell r="A1048" t="str">
            <v>200510U</v>
          </cell>
          <cell r="B1048" t="str">
            <v>JUNTA DILATACAO MAST. PLAST.(CARBOLASTICO CINZA)</v>
          </cell>
          <cell r="C1048" t="str">
            <v>m</v>
          </cell>
          <cell r="D1048">
            <v>6.32</v>
          </cell>
        </row>
        <row r="1049">
          <cell r="A1049">
            <v>200600</v>
          </cell>
          <cell r="B1049" t="str">
            <v>REPAROS EM GERAL</v>
          </cell>
        </row>
        <row r="1050">
          <cell r="A1050" t="str">
            <v>200601U</v>
          </cell>
          <cell r="B1050" t="str">
            <v>ABERTURA DE VAOS EM ALV. 1/2 VEZ REVESTIDA</v>
          </cell>
          <cell r="C1050" t="str">
            <v>m2</v>
          </cell>
          <cell r="D1050">
            <v>23.35</v>
          </cell>
        </row>
        <row r="1051">
          <cell r="A1051" t="str">
            <v>200602U</v>
          </cell>
          <cell r="B1051" t="str">
            <v>ABERTURA DE VAOS EM ALV. 1 VEZ REVESTIDA</v>
          </cell>
          <cell r="C1051" t="str">
            <v>m2</v>
          </cell>
          <cell r="D1051">
            <v>46.7</v>
          </cell>
        </row>
        <row r="1052">
          <cell r="A1052" t="str">
            <v>200603U</v>
          </cell>
          <cell r="B1052" t="str">
            <v>REQUADRO ALV. 1/2 VEZ C/ ARGAMASSA MISTA</v>
          </cell>
          <cell r="C1052" t="str">
            <v>m</v>
          </cell>
          <cell r="D1052">
            <v>13.73</v>
          </cell>
        </row>
        <row r="1053">
          <cell r="A1053" t="str">
            <v>200604U</v>
          </cell>
          <cell r="B1053" t="str">
            <v>REQUADRO ALV. 1 VEZ C/ ARGAMASSA MISTA</v>
          </cell>
          <cell r="C1053" t="str">
            <v>m</v>
          </cell>
          <cell r="D1053">
            <v>21.93</v>
          </cell>
        </row>
        <row r="1054">
          <cell r="A1054" t="str">
            <v>200605U</v>
          </cell>
          <cell r="B1054" t="str">
            <v>REQUADRO VIGAS E PILARES C/ ARGAMASSA MISTA</v>
          </cell>
          <cell r="C1054" t="str">
            <v>m</v>
          </cell>
          <cell r="D1054">
            <v>29.98</v>
          </cell>
        </row>
        <row r="1055">
          <cell r="A1055" t="str">
            <v>200606U</v>
          </cell>
          <cell r="B1055" t="str">
            <v>TRAT. TRINCAS C/ TELA ESTUQUE C/ RECUP. REBOCO</v>
          </cell>
          <cell r="C1055" t="str">
            <v>m</v>
          </cell>
          <cell r="D1055">
            <v>38.07</v>
          </cell>
        </row>
        <row r="1056">
          <cell r="A1056" t="str">
            <v>200607U</v>
          </cell>
          <cell r="B1056" t="str">
            <v>TRAT. TRINCAS E FISSURAS C/ MASTIQUE E TELA</v>
          </cell>
          <cell r="C1056" t="str">
            <v>m</v>
          </cell>
          <cell r="D1056">
            <v>55.56</v>
          </cell>
        </row>
        <row r="1057">
          <cell r="A1057" t="str">
            <v>200608U</v>
          </cell>
          <cell r="B1057" t="str">
            <v>ABERT. RASGOS ALV. P/ PASSAGEM TUBOS 1/2" A 1"</v>
          </cell>
          <cell r="C1057" t="str">
            <v>m</v>
          </cell>
          <cell r="D1057">
            <v>4.42</v>
          </cell>
        </row>
        <row r="1058">
          <cell r="A1058" t="str">
            <v>200609U</v>
          </cell>
          <cell r="B1058" t="str">
            <v>ABERT. RASGOS ALV. P/ PASSAGEM TUBOS 11/4" A 2"</v>
          </cell>
          <cell r="C1058" t="str">
            <v>m</v>
          </cell>
          <cell r="D1058">
            <v>6.91</v>
          </cell>
        </row>
        <row r="1059">
          <cell r="A1059" t="str">
            <v>200610U</v>
          </cell>
          <cell r="B1059" t="str">
            <v>ENCHIMENTO DE RASGOS ALV. P/ TUBOS 1/2" A 1"</v>
          </cell>
          <cell r="C1059" t="str">
            <v>m</v>
          </cell>
          <cell r="D1059">
            <v>3.53</v>
          </cell>
        </row>
        <row r="1060">
          <cell r="A1060" t="str">
            <v>200611U</v>
          </cell>
          <cell r="B1060" t="str">
            <v>ENCHIMENTO DE RASGOS ALV. P/ TUBOS 11/4" A 2"</v>
          </cell>
          <cell r="C1060" t="str">
            <v>m</v>
          </cell>
          <cell r="D1060">
            <v>4.93</v>
          </cell>
        </row>
        <row r="1061">
          <cell r="A1061">
            <v>200700</v>
          </cell>
          <cell r="B1061" t="str">
            <v>REPAROS EM FORROS, PAREDES E PISOS</v>
          </cell>
        </row>
        <row r="1062">
          <cell r="A1062" t="str">
            <v>200701U</v>
          </cell>
          <cell r="B1062" t="str">
            <v>RENIVELAMENTO E REPREGAMENTO FORRO MADEIRA</v>
          </cell>
          <cell r="C1062" t="str">
            <v>m2</v>
          </cell>
          <cell r="D1062">
            <v>7.57</v>
          </cell>
        </row>
        <row r="1063">
          <cell r="A1063" t="str">
            <v>200702U</v>
          </cell>
          <cell r="B1063" t="str">
            <v>RECOLAGEM DE TACOS DE MADEIRA</v>
          </cell>
          <cell r="C1063" t="str">
            <v>m2</v>
          </cell>
          <cell r="D1063">
            <v>33.64</v>
          </cell>
        </row>
        <row r="1064">
          <cell r="A1064" t="str">
            <v>200703U</v>
          </cell>
          <cell r="B1064" t="str">
            <v>SUBSTITUICAO DE VIDRO LISO 3 MM</v>
          </cell>
          <cell r="C1064" t="str">
            <v>m2</v>
          </cell>
          <cell r="D1064">
            <v>67.959999999999994</v>
          </cell>
        </row>
        <row r="1065">
          <cell r="A1065" t="str">
            <v>200704U</v>
          </cell>
          <cell r="B1065" t="str">
            <v>SUBSTITUICAO DE VIDRO LISO 4 MM</v>
          </cell>
          <cell r="C1065" t="str">
            <v>m2</v>
          </cell>
          <cell r="D1065">
            <v>80.48</v>
          </cell>
        </row>
        <row r="1066">
          <cell r="A1066" t="str">
            <v>200705U</v>
          </cell>
          <cell r="B1066" t="str">
            <v>SUBSTITUICAO DE VIDRO MARTELADO</v>
          </cell>
          <cell r="C1066" t="str">
            <v>m2</v>
          </cell>
          <cell r="D1066">
            <v>70.489999999999995</v>
          </cell>
        </row>
        <row r="1067">
          <cell r="A1067" t="str">
            <v>200706U</v>
          </cell>
          <cell r="B1067" t="str">
            <v>SUBSTITUICAO DE VIDRO MINI-BOREAL</v>
          </cell>
          <cell r="C1067" t="str">
            <v>m2</v>
          </cell>
          <cell r="D1067">
            <v>70.489999999999995</v>
          </cell>
        </row>
        <row r="1068">
          <cell r="A1068" t="str">
            <v>200707U</v>
          </cell>
          <cell r="B1068" t="str">
            <v>SUBSTITUICAO DE VIDRO CANELADO</v>
          </cell>
          <cell r="C1068" t="str">
            <v>m2</v>
          </cell>
          <cell r="D1068">
            <v>70.489999999999995</v>
          </cell>
        </row>
        <row r="1069">
          <cell r="A1069">
            <v>200800</v>
          </cell>
          <cell r="B1069" t="str">
            <v>REPAROS EM INSTALAÇÕES DE ÁGUA E ESGOTO</v>
          </cell>
        </row>
        <row r="1070">
          <cell r="A1070" t="str">
            <v>200801U</v>
          </cell>
          <cell r="B1070" t="str">
            <v>DESOBSTRUCAO REDE ESGOTO C/ MAQUINA ROTATIVA</v>
          </cell>
          <cell r="C1070" t="str">
            <v>m</v>
          </cell>
          <cell r="D1070">
            <v>21.66</v>
          </cell>
        </row>
        <row r="1071">
          <cell r="A1071" t="str">
            <v>200802U</v>
          </cell>
          <cell r="B1071" t="str">
            <v>ESGOTAMENTO DE FOSSAS ( ATE 8 M3 )</v>
          </cell>
          <cell r="C1071" t="str">
            <v>un</v>
          </cell>
          <cell r="D1071">
            <v>196.47</v>
          </cell>
        </row>
        <row r="1072">
          <cell r="A1072">
            <v>200900</v>
          </cell>
          <cell r="B1072" t="str">
            <v>VEÍCULO PARA FISCALIZAÇÃO DE OBRAS</v>
          </cell>
        </row>
        <row r="1073">
          <cell r="A1073" t="str">
            <v>200901U</v>
          </cell>
          <cell r="B1073" t="str">
            <v>VEICULO PARA FISCALIZACAO DE OBRAS</v>
          </cell>
          <cell r="C1073" t="str">
            <v>un</v>
          </cell>
          <cell r="D1073">
            <v>1852.77</v>
          </cell>
        </row>
        <row r="1074">
          <cell r="A1074">
            <v>210000</v>
          </cell>
          <cell r="B1074" t="str">
            <v>LIMPEZA GERAL</v>
          </cell>
        </row>
        <row r="1075">
          <cell r="A1075" t="str">
            <v>210501U</v>
          </cell>
          <cell r="B1075" t="str">
            <v>LIMPEZA GERAL DA OBRA</v>
          </cell>
          <cell r="C1075" t="str">
            <v>m²</v>
          </cell>
          <cell r="D1075">
            <v>1.9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1">
          <cell r="B1" t="str">
            <v xml:space="preserve">PREFEITURA MUNICIPAL DE CURITIBA                                                                                                           SECRETARIA MUNICIPAL DE OBRAS PÚBLICAS - SMOP                                                                       </v>
          </cell>
        </row>
        <row r="5">
          <cell r="B5" t="str">
            <v>GALERIA DE ÁGUAS PLUVIAIS</v>
          </cell>
        </row>
        <row r="6">
          <cell r="A6" t="str">
            <v>CÓDIGO</v>
          </cell>
          <cell r="B6" t="str">
            <v>DISCRIMINAÇÃO</v>
          </cell>
          <cell r="C6" t="str">
            <v>UN</v>
          </cell>
          <cell r="D6" t="str">
            <v>B.D.I. = 20,31 %          ( R$ )</v>
          </cell>
        </row>
        <row r="7">
          <cell r="A7" t="str">
            <v>GAP-1</v>
          </cell>
          <cell r="B7" t="str">
            <v>ESCAVAÇÃO MANUAL DE VALAS</v>
          </cell>
          <cell r="C7" t="str">
            <v>m³</v>
          </cell>
          <cell r="D7">
            <v>34.229999999999997</v>
          </cell>
        </row>
        <row r="8">
          <cell r="A8" t="str">
            <v>GAP-2</v>
          </cell>
          <cell r="B8" t="str">
            <v>ESCAVAÇÃO MECÂNICA DE VALAS</v>
          </cell>
          <cell r="C8" t="str">
            <v>m³</v>
          </cell>
          <cell r="D8">
            <v>7.19</v>
          </cell>
        </row>
        <row r="9">
          <cell r="A9" t="str">
            <v>GAP-3</v>
          </cell>
          <cell r="B9" t="str">
            <v>REATERRO MANUAL DE VALAS C/APILOAMENTO</v>
          </cell>
          <cell r="C9" t="str">
            <v>m³</v>
          </cell>
          <cell r="D9">
            <v>18.25</v>
          </cell>
        </row>
        <row r="10">
          <cell r="A10" t="str">
            <v>GAP-4</v>
          </cell>
          <cell r="B10" t="str">
            <v>REATERRO MECÂNICO DE VALAS C/APILOAMENTO</v>
          </cell>
          <cell r="C10" t="str">
            <v>m³</v>
          </cell>
          <cell r="D10">
            <v>4.8</v>
          </cell>
        </row>
        <row r="11">
          <cell r="A11" t="str">
            <v>GAP-5</v>
          </cell>
          <cell r="B11" t="str">
            <v>COMPACTAÇÃO DE ATERRO COM SAPO MECÂNICO</v>
          </cell>
          <cell r="C11" t="str">
            <v>m³</v>
          </cell>
          <cell r="D11">
            <v>9.08</v>
          </cell>
        </row>
        <row r="12">
          <cell r="A12" t="str">
            <v>GAP-6</v>
          </cell>
          <cell r="B12" t="str">
            <v>CARGA MECÂNICA DE MATERIAL EM CAMINHÃO</v>
          </cell>
          <cell r="C12" t="str">
            <v>m³</v>
          </cell>
          <cell r="D12">
            <v>1.1299999999999999</v>
          </cell>
        </row>
        <row r="13">
          <cell r="A13" t="str">
            <v>GAP-7</v>
          </cell>
          <cell r="B13" t="str">
            <v>CARGA MANUAL DE MATERIAL EM CAMINHÃO</v>
          </cell>
          <cell r="C13" t="str">
            <v>m³</v>
          </cell>
          <cell r="D13">
            <v>3.8</v>
          </cell>
        </row>
        <row r="14">
          <cell r="A14" t="str">
            <v>GAP-8</v>
          </cell>
          <cell r="B14" t="str">
            <v>MATERIAL DE EMPRÉSTIMO PARA ATERRO (S/TRANSPORTE)</v>
          </cell>
          <cell r="C14" t="str">
            <v>m³</v>
          </cell>
          <cell r="D14">
            <v>3.79</v>
          </cell>
        </row>
        <row r="15">
          <cell r="A15" t="str">
            <v>GAP-9</v>
          </cell>
          <cell r="B15" t="str">
            <v>TRANSP. DE MATERIAIS  DMT ATÉ 500m</v>
          </cell>
          <cell r="C15" t="str">
            <v>m³</v>
          </cell>
          <cell r="D15">
            <v>1.1299999999999999</v>
          </cell>
        </row>
        <row r="16">
          <cell r="A16" t="str">
            <v>GAP-10</v>
          </cell>
          <cell r="B16" t="str">
            <v>TRANSP. DE MATERIAIS  DMT 501 a 1.000m</v>
          </cell>
          <cell r="C16" t="str">
            <v>m³</v>
          </cell>
          <cell r="D16">
            <v>1.4</v>
          </cell>
        </row>
        <row r="17">
          <cell r="A17" t="str">
            <v>GAP-11</v>
          </cell>
          <cell r="B17" t="str">
            <v>TRANSP. DE MATERIAIS  DMT 1.001 a 5.000m</v>
          </cell>
          <cell r="C17" t="str">
            <v>m³</v>
          </cell>
          <cell r="D17">
            <v>3.5</v>
          </cell>
        </row>
        <row r="18">
          <cell r="A18" t="str">
            <v>GAP-12</v>
          </cell>
          <cell r="B18" t="str">
            <v>TRANSP. DE MATERIAIS  DMT 5.001 a 10.000m</v>
          </cell>
          <cell r="C18" t="str">
            <v>m³</v>
          </cell>
          <cell r="D18">
            <v>6.12</v>
          </cell>
        </row>
        <row r="19">
          <cell r="A19" t="str">
            <v>GAP-13</v>
          </cell>
          <cell r="B19" t="str">
            <v>TRANSP. DE MATERIAIS  DMT 10.001 a 15.000m</v>
          </cell>
          <cell r="C19" t="str">
            <v>m³</v>
          </cell>
          <cell r="D19">
            <v>8.73</v>
          </cell>
        </row>
        <row r="20">
          <cell r="A20" t="str">
            <v>GAP-14</v>
          </cell>
          <cell r="B20" t="str">
            <v>TRANSP. DE MATERIAIS  DMT 15.001 a 20.000m</v>
          </cell>
          <cell r="C20" t="str">
            <v>m³</v>
          </cell>
          <cell r="D20">
            <v>11.36</v>
          </cell>
        </row>
        <row r="21">
          <cell r="A21" t="str">
            <v>GAP-15</v>
          </cell>
          <cell r="B21" t="str">
            <v>TRANSP. DE MATERIAIS  DMT ACIMA DE 20.001m</v>
          </cell>
          <cell r="C21" t="str">
            <v>m³.km</v>
          </cell>
          <cell r="D21">
            <v>0.56999999999999995</v>
          </cell>
        </row>
        <row r="22">
          <cell r="A22" t="str">
            <v>GAP-16</v>
          </cell>
          <cell r="B22" t="str">
            <v>FORNEC/ASSENT. TUBO DE CONCRETO Ø 0,20 M SIMPLES P.S.</v>
          </cell>
          <cell r="C22" t="str">
            <v>m</v>
          </cell>
          <cell r="D22">
            <v>22.45</v>
          </cell>
        </row>
        <row r="23">
          <cell r="A23" t="str">
            <v>GAP-17</v>
          </cell>
          <cell r="B23" t="str">
            <v>FORNEC/ASSENT. TUBO DE CONCRETO Ø 0,30 M SIMPLES P.S.</v>
          </cell>
          <cell r="C23" t="str">
            <v>m</v>
          </cell>
          <cell r="D23">
            <v>26.54</v>
          </cell>
        </row>
        <row r="24">
          <cell r="A24" t="str">
            <v>GAP-18</v>
          </cell>
          <cell r="B24" t="str">
            <v>FORNEC/ASSENT. TUBO DE CONCRETO Ø 0,40 M SIMPLES P.S.</v>
          </cell>
          <cell r="C24" t="str">
            <v>m</v>
          </cell>
          <cell r="D24">
            <v>32.950000000000003</v>
          </cell>
        </row>
        <row r="25">
          <cell r="A25" t="str">
            <v>GAP-19</v>
          </cell>
          <cell r="B25" t="str">
            <v>FORNEC/ASSENT. TUBO DE CONCRETO Ø 0,40 M ARMADO P.A-1</v>
          </cell>
          <cell r="C25" t="str">
            <v>m</v>
          </cell>
          <cell r="D25">
            <v>50.52</v>
          </cell>
        </row>
        <row r="26">
          <cell r="A26" t="str">
            <v>GAP-20</v>
          </cell>
          <cell r="B26" t="str">
            <v>FORNEC/ASSENT. MEIA CANA DE CONCRETO Ø 0,40 M</v>
          </cell>
          <cell r="C26" t="str">
            <v>m</v>
          </cell>
          <cell r="D26">
            <v>31.16</v>
          </cell>
        </row>
        <row r="27">
          <cell r="A27" t="str">
            <v>GAP-21</v>
          </cell>
          <cell r="B27" t="str">
            <v>FORNEC/ASSENT. TUBO DE CONCRETO Ø 0,50M SIMPLES P.S.</v>
          </cell>
          <cell r="C27" t="str">
            <v>m</v>
          </cell>
          <cell r="D27">
            <v>50.48</v>
          </cell>
        </row>
        <row r="28">
          <cell r="A28" t="str">
            <v>GAP-22</v>
          </cell>
          <cell r="B28" t="str">
            <v>FORNEC/ASSENT. TUBO DE CONCRETO Ø 0,50M P.A-1</v>
          </cell>
          <cell r="C28" t="str">
            <v>m</v>
          </cell>
          <cell r="D28">
            <v>73.23</v>
          </cell>
        </row>
        <row r="29">
          <cell r="A29" t="str">
            <v>GAP-23</v>
          </cell>
          <cell r="B29" t="str">
            <v>FORNEC/ASSENT. TUBO DE CONCRETO Ø 0,60M SIMPLES P.S.</v>
          </cell>
          <cell r="C29" t="str">
            <v>m</v>
          </cell>
          <cell r="D29">
            <v>59.51</v>
          </cell>
        </row>
        <row r="30">
          <cell r="A30" t="str">
            <v>GAP-24</v>
          </cell>
          <cell r="B30" t="str">
            <v>FORNEC/ASSENT. TUBO DE CONCRETO Ø 0,60M P.A-1</v>
          </cell>
          <cell r="C30" t="str">
            <v>m</v>
          </cell>
          <cell r="D30">
            <v>92.95</v>
          </cell>
        </row>
        <row r="31">
          <cell r="A31" t="str">
            <v>GAP-25</v>
          </cell>
          <cell r="B31" t="str">
            <v>FORNEC/ASSENT. TUBO DE CONCRETO Ø 0,80M P.A-1</v>
          </cell>
          <cell r="C31" t="str">
            <v>m</v>
          </cell>
          <cell r="D31">
            <v>141.83000000000001</v>
          </cell>
        </row>
        <row r="32">
          <cell r="A32" t="str">
            <v>GAP-26</v>
          </cell>
          <cell r="B32" t="str">
            <v>FORNEC/ASSENT. TUBO DE CONCRETO Ø 0,80M P.A-2</v>
          </cell>
          <cell r="C32" t="str">
            <v>m</v>
          </cell>
          <cell r="D32">
            <v>165.74</v>
          </cell>
        </row>
        <row r="33">
          <cell r="A33" t="str">
            <v>GAP-27</v>
          </cell>
          <cell r="B33" t="str">
            <v>FORNEC/ASSENT. TUBO DE CONCRETO Ø 1,00M P.A-1</v>
          </cell>
          <cell r="C33" t="str">
            <v>m</v>
          </cell>
          <cell r="D33">
            <v>218.33</v>
          </cell>
        </row>
        <row r="34">
          <cell r="A34" t="str">
            <v>GAP-28</v>
          </cell>
          <cell r="B34" t="str">
            <v>FORNEC/ASSENT. TUBO DE CONCRETO Ø 1,00M P.A-2</v>
          </cell>
          <cell r="C34" t="str">
            <v>m</v>
          </cell>
          <cell r="D34">
            <v>258.44</v>
          </cell>
        </row>
        <row r="35">
          <cell r="A35" t="str">
            <v>GAP-29</v>
          </cell>
          <cell r="B35" t="str">
            <v>FORNEC/ASSENT. TUBO DE CONCRETO Ø 1,20M P.A-1</v>
          </cell>
          <cell r="C35" t="str">
            <v>m</v>
          </cell>
          <cell r="D35">
            <v>319.16000000000003</v>
          </cell>
        </row>
        <row r="36">
          <cell r="A36" t="str">
            <v>GAP-30</v>
          </cell>
          <cell r="B36" t="str">
            <v>FORNEC/ASSENT. TUBO DE CONCRETO Ø 1,20M P.A-2</v>
          </cell>
          <cell r="C36" t="str">
            <v>m</v>
          </cell>
          <cell r="D36">
            <v>378.04</v>
          </cell>
        </row>
        <row r="37">
          <cell r="A37" t="str">
            <v>GAP-31</v>
          </cell>
          <cell r="B37" t="str">
            <v>FORNEC/ASSENT. TUBO DE CONCRETO Ø 1,50M P.A-1</v>
          </cell>
          <cell r="C37" t="str">
            <v>m</v>
          </cell>
          <cell r="D37">
            <v>459.88</v>
          </cell>
        </row>
        <row r="38">
          <cell r="A38" t="str">
            <v>GAP-32</v>
          </cell>
          <cell r="B38" t="str">
            <v>FORNEC/ASSENT. TUBO DE CONCRETO Ø 1,50M P.A-2</v>
          </cell>
          <cell r="C38" t="str">
            <v>m</v>
          </cell>
          <cell r="D38">
            <v>561.07000000000005</v>
          </cell>
        </row>
        <row r="39">
          <cell r="A39" t="str">
            <v>GAP-33</v>
          </cell>
          <cell r="B39" t="str">
            <v>FORNEC/ASSENT. TUBO DE CONCRETO Ø 1,80M P.A-2</v>
          </cell>
          <cell r="C39" t="str">
            <v>m</v>
          </cell>
          <cell r="D39">
            <v>1266.1099999999999</v>
          </cell>
        </row>
        <row r="40">
          <cell r="A40" t="str">
            <v>GAP-34</v>
          </cell>
          <cell r="B40" t="str">
            <v>FORNEC/ASSENT. TUBO DE CONCRETO Ø 2,00M P.A-2</v>
          </cell>
          <cell r="C40" t="str">
            <v>m</v>
          </cell>
          <cell r="D40">
            <v>1622.15</v>
          </cell>
        </row>
        <row r="41">
          <cell r="A41" t="str">
            <v>GAP-35</v>
          </cell>
          <cell r="B41" t="str">
            <v>FORNEC/ASSENT. TUBO DE CONCRETO Ø 2,20M P.A-2</v>
          </cell>
          <cell r="C41" t="str">
            <v>m</v>
          </cell>
          <cell r="D41">
            <v>2022.56</v>
          </cell>
        </row>
        <row r="42">
          <cell r="A42" t="str">
            <v>GAP-36</v>
          </cell>
          <cell r="B42" t="str">
            <v>ARRANCAMENTO DE TUBO DE CONCRETO Ø 0,20M</v>
          </cell>
          <cell r="C42" t="str">
            <v>m</v>
          </cell>
          <cell r="D42">
            <v>4.5599999999999996</v>
          </cell>
        </row>
        <row r="43">
          <cell r="A43" t="str">
            <v>GAP-37</v>
          </cell>
          <cell r="B43" t="str">
            <v>ARRANCAMENTO DE TUBO DE CONCRETO Ø 0,30M</v>
          </cell>
          <cell r="C43" t="str">
            <v>m</v>
          </cell>
          <cell r="D43">
            <v>4.5599999999999996</v>
          </cell>
        </row>
        <row r="44">
          <cell r="A44" t="str">
            <v>GAP-38</v>
          </cell>
          <cell r="B44" t="str">
            <v>ARRANCAMENTO DE TUBO DE CONCRETO Ø 0,40M</v>
          </cell>
          <cell r="C44" t="str">
            <v>m</v>
          </cell>
          <cell r="D44">
            <v>4.9000000000000004</v>
          </cell>
        </row>
        <row r="45">
          <cell r="A45" t="str">
            <v>GAP-39</v>
          </cell>
          <cell r="B45" t="str">
            <v>ARRANCAMENTO DE TUBO DE CONCRETO Ø 0,50M</v>
          </cell>
          <cell r="C45" t="str">
            <v>m</v>
          </cell>
          <cell r="D45">
            <v>6.41</v>
          </cell>
        </row>
        <row r="46">
          <cell r="A46" t="str">
            <v>GAP-40</v>
          </cell>
          <cell r="B46" t="str">
            <v>ARRANCAMENTO DE TUBO DE CONCRETO Ø 0,60M</v>
          </cell>
          <cell r="C46" t="str">
            <v>m</v>
          </cell>
          <cell r="D46">
            <v>6.56</v>
          </cell>
        </row>
        <row r="47">
          <cell r="A47" t="str">
            <v>GAP-41</v>
          </cell>
          <cell r="B47" t="str">
            <v>ARRANCAMENTO DE TUBO DE CONCRETO Ø 0,80M</v>
          </cell>
          <cell r="C47" t="str">
            <v>m</v>
          </cell>
          <cell r="D47">
            <v>6.77</v>
          </cell>
        </row>
        <row r="48">
          <cell r="A48" t="str">
            <v>GAP-42</v>
          </cell>
          <cell r="B48" t="str">
            <v>ARRANCAMENTO DE TUBO DE CONCRETO Ø 1,00M</v>
          </cell>
          <cell r="C48" t="str">
            <v>m</v>
          </cell>
          <cell r="D48">
            <v>9.5</v>
          </cell>
        </row>
        <row r="49">
          <cell r="A49" t="str">
            <v>GAP-43</v>
          </cell>
          <cell r="B49" t="str">
            <v>ARRANCAMENTO DE TUBO DE CONCRETO Ø 1,20M</v>
          </cell>
          <cell r="C49" t="str">
            <v>m</v>
          </cell>
          <cell r="D49">
            <v>20.260000000000002</v>
          </cell>
        </row>
        <row r="50">
          <cell r="A50" t="str">
            <v>GAP-44</v>
          </cell>
          <cell r="B50" t="str">
            <v>ARRANCAMENTO DE TUBO DE CONCRETO Ø 1,50M</v>
          </cell>
          <cell r="C50" t="str">
            <v>m</v>
          </cell>
          <cell r="D50">
            <v>28.92</v>
          </cell>
        </row>
        <row r="51">
          <cell r="A51" t="str">
            <v>GAP-45</v>
          </cell>
          <cell r="B51" t="str">
            <v>ARRANCAMENTO DE TUBO DE CONCRETO Ø 1,80M</v>
          </cell>
          <cell r="C51" t="str">
            <v>m</v>
          </cell>
          <cell r="D51">
            <v>44.8</v>
          </cell>
        </row>
        <row r="52">
          <cell r="A52" t="str">
            <v>GAP-46</v>
          </cell>
          <cell r="B52" t="str">
            <v>ARRANCAMENTO DE TUBO DE CONCRETO Ø 2,00M</v>
          </cell>
          <cell r="C52" t="str">
            <v>m</v>
          </cell>
          <cell r="D52">
            <v>59.73</v>
          </cell>
        </row>
        <row r="53">
          <cell r="A53" t="str">
            <v>GAP-47</v>
          </cell>
          <cell r="B53" t="str">
            <v>ARRANCAMENTO DE TUBO DE CONCRETO Ø 2,20M</v>
          </cell>
          <cell r="C53" t="str">
            <v>m</v>
          </cell>
          <cell r="D53">
            <v>95.31</v>
          </cell>
        </row>
        <row r="54">
          <cell r="A54" t="str">
            <v>GAP-48</v>
          </cell>
          <cell r="B54" t="str">
            <v>ASSENTAMENTO DE TUBO DE CONCRETO Ø 0,20M</v>
          </cell>
          <cell r="C54" t="str">
            <v>m</v>
          </cell>
          <cell r="D54">
            <v>6.73</v>
          </cell>
        </row>
        <row r="55">
          <cell r="A55" t="str">
            <v>GAP-49</v>
          </cell>
          <cell r="B55" t="str">
            <v>ASSENTAMENTO DE TUBO DE CONCRETO Ø 0,30M</v>
          </cell>
          <cell r="C55" t="str">
            <v>m</v>
          </cell>
          <cell r="D55">
            <v>6.81</v>
          </cell>
        </row>
        <row r="56">
          <cell r="A56" t="str">
            <v>GAP-50</v>
          </cell>
          <cell r="B56" t="str">
            <v>ASSENTAMENTO DE TUBO DE CONCRETO Ø 0,40M</v>
          </cell>
          <cell r="C56" t="str">
            <v>m</v>
          </cell>
          <cell r="D56">
            <v>6.16</v>
          </cell>
        </row>
        <row r="57">
          <cell r="A57" t="str">
            <v>GAP-51</v>
          </cell>
          <cell r="B57" t="str">
            <v>ASSENTAMENTO DE TUBO DE CONCRETO Ø 0,50M</v>
          </cell>
          <cell r="C57" t="str">
            <v>m</v>
          </cell>
          <cell r="D57">
            <v>9.34</v>
          </cell>
        </row>
        <row r="58">
          <cell r="A58" t="str">
            <v>GAP-52</v>
          </cell>
          <cell r="B58" t="str">
            <v>ASSENTAMENTO DE TUBO DE CONCRETO Ø 0,60M</v>
          </cell>
          <cell r="C58" t="str">
            <v>m</v>
          </cell>
          <cell r="D58">
            <v>9.89</v>
          </cell>
        </row>
        <row r="59">
          <cell r="A59" t="str">
            <v>GAP-53</v>
          </cell>
          <cell r="B59" t="str">
            <v>ASSENTAMENTO DE TUBO DE CONCRETO Ø 0,80M</v>
          </cell>
          <cell r="C59" t="str">
            <v>m</v>
          </cell>
          <cell r="D59">
            <v>11.01</v>
          </cell>
        </row>
        <row r="60">
          <cell r="A60" t="str">
            <v>GAP-54</v>
          </cell>
          <cell r="B60" t="str">
            <v>ASSENTAMENTO DE TUBO DE CONCRETO Ø 1,00M</v>
          </cell>
          <cell r="C60" t="str">
            <v>m</v>
          </cell>
          <cell r="D60">
            <v>18.559999999999999</v>
          </cell>
        </row>
        <row r="61">
          <cell r="A61" t="str">
            <v>GAP-55</v>
          </cell>
          <cell r="B61" t="str">
            <v>ASSENTAMENTO DE TUBO DE CONCRETO Ø 1,20M</v>
          </cell>
          <cell r="C61" t="str">
            <v>m</v>
          </cell>
          <cell r="D61">
            <v>32.630000000000003</v>
          </cell>
        </row>
        <row r="62">
          <cell r="A62" t="str">
            <v>GAP-56</v>
          </cell>
          <cell r="B62" t="str">
            <v>ASSENTAMENTO DE TUBO DE CONCRETO Ø 1,50M</v>
          </cell>
          <cell r="C62" t="str">
            <v>m</v>
          </cell>
          <cell r="D62">
            <v>48.86</v>
          </cell>
        </row>
        <row r="63">
          <cell r="A63" t="str">
            <v>GAP-57</v>
          </cell>
          <cell r="B63" t="str">
            <v>ASSENTAMENTO DE TUBO DE CONCRETO Ø 1,80M</v>
          </cell>
          <cell r="C63" t="str">
            <v>m</v>
          </cell>
          <cell r="D63">
            <v>76.099999999999994</v>
          </cell>
        </row>
        <row r="64">
          <cell r="A64" t="str">
            <v>GAP-58</v>
          </cell>
          <cell r="B64" t="str">
            <v>ASSENTAMENTO DE TUBO DE CONCRETO Ø 2,00M</v>
          </cell>
          <cell r="C64" t="str">
            <v>m</v>
          </cell>
          <cell r="D64">
            <v>103.64</v>
          </cell>
        </row>
        <row r="65">
          <cell r="A65" t="str">
            <v>GAP-59</v>
          </cell>
          <cell r="B65" t="str">
            <v>ASSENTAMENTO DE TUBO DE CONCRETO Ø 2,20M</v>
          </cell>
          <cell r="C65" t="str">
            <v>m</v>
          </cell>
          <cell r="D65">
            <v>161.72999999999999</v>
          </cell>
        </row>
        <row r="66">
          <cell r="A66" t="str">
            <v>GAP-60</v>
          </cell>
          <cell r="B66" t="str">
            <v>CAIXA DE CAPTAÇÃO SEM GRELHA</v>
          </cell>
          <cell r="C66" t="str">
            <v>ud</v>
          </cell>
          <cell r="D66">
            <v>429.78</v>
          </cell>
        </row>
        <row r="67">
          <cell r="A67" t="str">
            <v>GAP-61</v>
          </cell>
          <cell r="B67" t="str">
            <v>CAIXA DE CAPTAÇÃO C/GRELHA DE CONCRETO ARMADO</v>
          </cell>
          <cell r="C67" t="str">
            <v>ud</v>
          </cell>
          <cell r="D67">
            <v>489.72</v>
          </cell>
        </row>
        <row r="68">
          <cell r="A68" t="str">
            <v>GAP-62</v>
          </cell>
          <cell r="B68" t="str">
            <v>CAIXA DE CAPTAÇÃO DUPLA C/GRELHA DE CONCRETO ARMADO</v>
          </cell>
          <cell r="C68" t="str">
            <v>ud</v>
          </cell>
          <cell r="D68">
            <v>732.04</v>
          </cell>
        </row>
        <row r="69">
          <cell r="A69" t="str">
            <v>GAP-63</v>
          </cell>
          <cell r="B69" t="str">
            <v>CAIXA DE CAPTAÇÃO COM GRELHA DE FERRO FUNDIDO</v>
          </cell>
          <cell r="C69" t="str">
            <v>ud</v>
          </cell>
          <cell r="D69">
            <v>598.96</v>
          </cell>
        </row>
        <row r="70">
          <cell r="A70" t="str">
            <v>GAP-64</v>
          </cell>
          <cell r="B70" t="str">
            <v>CAIXA DE CAPTAÇÃO DUPLA C/GRELHA DE FERRO FUNDIDO</v>
          </cell>
          <cell r="C70" t="str">
            <v>ud</v>
          </cell>
          <cell r="D70">
            <v>950.52</v>
          </cell>
        </row>
        <row r="71">
          <cell r="A71" t="str">
            <v>GAP-65</v>
          </cell>
          <cell r="B71" t="str">
            <v>FORNEC/ASSENT. DE GRELHA DE CONCRETO ARMADO</v>
          </cell>
          <cell r="C71" t="str">
            <v>ud</v>
          </cell>
          <cell r="D71">
            <v>66.69</v>
          </cell>
        </row>
        <row r="72">
          <cell r="A72" t="str">
            <v>GAP-66</v>
          </cell>
          <cell r="B72" t="str">
            <v>FORNEC/ASSENT. DE GRELHA DE FERRO FUNDIDO</v>
          </cell>
          <cell r="C72" t="str">
            <v>ud</v>
          </cell>
          <cell r="D72">
            <v>175.93</v>
          </cell>
        </row>
        <row r="73">
          <cell r="A73" t="str">
            <v>GAP-67</v>
          </cell>
          <cell r="B73" t="str">
            <v>FORNEC/COLOCAÇÃO DE TAMPÃO DE FERRO FUNDIDO</v>
          </cell>
          <cell r="C73" t="str">
            <v>ud</v>
          </cell>
          <cell r="D73">
            <v>216.57</v>
          </cell>
        </row>
        <row r="74">
          <cell r="A74" t="str">
            <v>GAP-68</v>
          </cell>
          <cell r="B74" t="str">
            <v>FORNEC/ASSENT. DE BOCA DE LOBO</v>
          </cell>
          <cell r="C74" t="str">
            <v>ud</v>
          </cell>
          <cell r="D74">
            <v>28.01</v>
          </cell>
        </row>
        <row r="75">
          <cell r="A75" t="str">
            <v>GAP-69</v>
          </cell>
          <cell r="B75" t="str">
            <v>CAIXA DE LIGAÇÃO P/ TUBO DE Ø 0,40M</v>
          </cell>
          <cell r="C75" t="str">
            <v>ud</v>
          </cell>
          <cell r="D75">
            <v>705.32</v>
          </cell>
        </row>
        <row r="76">
          <cell r="A76" t="str">
            <v>GAP-70</v>
          </cell>
          <cell r="B76" t="str">
            <v>CAIXA DE LIGAÇÃO P/ TUBO DE Ø 0,50M</v>
          </cell>
          <cell r="C76" t="str">
            <v>ud</v>
          </cell>
          <cell r="D76">
            <v>852.36</v>
          </cell>
        </row>
        <row r="77">
          <cell r="A77" t="str">
            <v>GAP-71</v>
          </cell>
          <cell r="B77" t="str">
            <v>CAIXA DE LIGAÇÃO P/ TUBO DE Ø 0,60M</v>
          </cell>
          <cell r="C77" t="str">
            <v>ud</v>
          </cell>
          <cell r="D77">
            <v>857.44</v>
          </cell>
        </row>
        <row r="78">
          <cell r="A78" t="str">
            <v>GAP-72</v>
          </cell>
          <cell r="B78" t="str">
            <v>CAIXA DE LIGAÇÃO P/ TUBO DE Ø 0,80M</v>
          </cell>
          <cell r="C78" t="str">
            <v>ud</v>
          </cell>
          <cell r="D78">
            <v>1190.94</v>
          </cell>
        </row>
        <row r="79">
          <cell r="A79" t="str">
            <v>GAP-73</v>
          </cell>
          <cell r="B79" t="str">
            <v>CAIXA DE LIGAÇÃO P/ TUBO DE Ø 1,00M</v>
          </cell>
          <cell r="C79" t="str">
            <v>ud</v>
          </cell>
          <cell r="D79">
            <v>1385.3</v>
          </cell>
        </row>
        <row r="80">
          <cell r="A80" t="str">
            <v>GAP-74</v>
          </cell>
          <cell r="B80" t="str">
            <v>CAIXA DE LIGAÇÃO P/ TUBO DE Ø 1,20M</v>
          </cell>
          <cell r="C80" t="str">
            <v>ud</v>
          </cell>
          <cell r="D80">
            <v>1601.25</v>
          </cell>
        </row>
        <row r="81">
          <cell r="A81" t="str">
            <v>GAP-75</v>
          </cell>
          <cell r="B81" t="str">
            <v>CAIXA DE LIGAÇÃO P/ TUBO DE Ø 1,50M</v>
          </cell>
          <cell r="C81" t="str">
            <v>ud</v>
          </cell>
          <cell r="D81">
            <v>2248.88</v>
          </cell>
        </row>
        <row r="82">
          <cell r="A82" t="str">
            <v>GAP-76</v>
          </cell>
          <cell r="B82" t="str">
            <v>CAIXA DE LIGAÇÃO P/ TUBO DE Ø 1,80M</v>
          </cell>
          <cell r="C82" t="str">
            <v>ud</v>
          </cell>
          <cell r="D82">
            <v>2565.35</v>
          </cell>
        </row>
        <row r="83">
          <cell r="A83" t="str">
            <v>GAP-77</v>
          </cell>
          <cell r="B83" t="str">
            <v>CAIXA DE LIGAÇÃO P/ TUBO DE Ø 2,00M</v>
          </cell>
          <cell r="C83" t="str">
            <v>ud</v>
          </cell>
          <cell r="D83">
            <v>3544.25</v>
          </cell>
        </row>
        <row r="84">
          <cell r="A84" t="str">
            <v>GAP-78</v>
          </cell>
          <cell r="B84" t="str">
            <v>CAIXA DE LIGAÇÃO P/ TUBO DE Ø 2,20M</v>
          </cell>
          <cell r="C84" t="str">
            <v>ud</v>
          </cell>
          <cell r="D84">
            <v>3871.65</v>
          </cell>
        </row>
        <row r="85">
          <cell r="A85" t="str">
            <v>GAP-79</v>
          </cell>
          <cell r="B85" t="str">
            <v>CAIXA DE QUEDA P/ TUBO DE Ø 0,40M E ALTURA ATÉ 0,50m</v>
          </cell>
          <cell r="C85" t="str">
            <v>ud</v>
          </cell>
          <cell r="D85">
            <v>1024.82</v>
          </cell>
        </row>
        <row r="86">
          <cell r="A86" t="str">
            <v>GAP-80</v>
          </cell>
          <cell r="B86" t="str">
            <v>CAIXA DE QUEDA P/ TUBO DE Ø 0,40M E ALTURA DE 0,50M ATÉ 1,0M</v>
          </cell>
          <cell r="C86" t="str">
            <v>ud</v>
          </cell>
          <cell r="D86">
            <v>1343.97</v>
          </cell>
        </row>
        <row r="87">
          <cell r="A87" t="str">
            <v>GAP-81</v>
          </cell>
          <cell r="B87" t="str">
            <v>CAIXA DE QUEDA P/ TUBO DE Ø 0,40M E ALTURA DE 1,0M ATÉ 1,50M</v>
          </cell>
          <cell r="C87" t="str">
            <v>ud</v>
          </cell>
          <cell r="D87">
            <v>1663.48</v>
          </cell>
        </row>
        <row r="88">
          <cell r="A88" t="str">
            <v>GAP-82</v>
          </cell>
          <cell r="B88" t="str">
            <v>CAIXA DE QUEDA P/ TUBO DE Ø 0,40M E ALTURA DE 1,50M ATÉ 2,00M</v>
          </cell>
          <cell r="C88" t="str">
            <v>ud</v>
          </cell>
          <cell r="D88">
            <v>1988.95</v>
          </cell>
        </row>
        <row r="89">
          <cell r="A89" t="str">
            <v>GAP-83</v>
          </cell>
          <cell r="B89" t="str">
            <v>CAIXA DE QUEDA P/ TUBO DE Ø 0,50M E ALTURA ATÉ 0,50M</v>
          </cell>
          <cell r="C89" t="str">
            <v>ud</v>
          </cell>
          <cell r="D89">
            <v>1204.1099999999999</v>
          </cell>
        </row>
        <row r="90">
          <cell r="A90" t="str">
            <v>GAP-84</v>
          </cell>
          <cell r="B90" t="str">
            <v>CAIXA DE QUEDA P/ TUBO DE Ø 0,50M E ALTURA DE 0,50M ATÉ 1,00M</v>
          </cell>
          <cell r="C90" t="str">
            <v>ud</v>
          </cell>
          <cell r="D90">
            <v>1561.48</v>
          </cell>
        </row>
        <row r="91">
          <cell r="A91" t="str">
            <v>GAP-85</v>
          </cell>
          <cell r="B91" t="str">
            <v>CAIXA DE QUEDA P/ TUBO DE Ø 0,50M E ALTURA DE 1,00M ATÉ 1,50M</v>
          </cell>
          <cell r="C91" t="str">
            <v>ud</v>
          </cell>
          <cell r="D91">
            <v>1919.21</v>
          </cell>
        </row>
        <row r="92">
          <cell r="A92" t="str">
            <v>GAP-86</v>
          </cell>
          <cell r="B92" t="str">
            <v>CAIXA DE QUEDA P/ TUBO DE Ø 0,50M E ALTURA DE 1,50M ATÉ 2,00M</v>
          </cell>
          <cell r="C92" t="str">
            <v>ud</v>
          </cell>
          <cell r="D92">
            <v>2270.9699999999998</v>
          </cell>
        </row>
        <row r="93">
          <cell r="A93" t="str">
            <v>GAP-87</v>
          </cell>
          <cell r="B93" t="str">
            <v>CAIXA DE QUEDA P/ TUBO DE Ø 0,60M E ALTURA ATÉ 0,50M</v>
          </cell>
          <cell r="C93" t="str">
            <v>ud</v>
          </cell>
          <cell r="D93">
            <v>1247.4100000000001</v>
          </cell>
        </row>
        <row r="94">
          <cell r="A94" t="str">
            <v>GAP-88</v>
          </cell>
          <cell r="B94" t="str">
            <v>CAIXA DE QUEDA P/ TUBO DE Ø 0,60M E ALTURA DE 0,50M ATÉ 1,00M</v>
          </cell>
          <cell r="C94" t="str">
            <v>ud</v>
          </cell>
          <cell r="D94">
            <v>1637.03</v>
          </cell>
        </row>
        <row r="95">
          <cell r="A95" t="str">
            <v>GAP-89</v>
          </cell>
          <cell r="B95" t="str">
            <v>CAIXA DE QUEDA P/ TUBO DE Ø 0,60M E ALTURA DE 1,00M ATÉ 1,50M</v>
          </cell>
          <cell r="C95" t="str">
            <v>ud</v>
          </cell>
          <cell r="D95">
            <v>1674.96</v>
          </cell>
        </row>
        <row r="96">
          <cell r="A96" t="str">
            <v>GAP-90</v>
          </cell>
          <cell r="B96" t="str">
            <v>CAIXA DE QUEDA P/ TUBO DE Ø 0,60M E ALTURA DE 1,50M ATÉ 2,00M</v>
          </cell>
          <cell r="C96" t="str">
            <v>ud</v>
          </cell>
          <cell r="D96">
            <v>2417</v>
          </cell>
        </row>
        <row r="97">
          <cell r="A97" t="str">
            <v>GAP-91</v>
          </cell>
          <cell r="B97" t="str">
            <v>CAIXA DE QUEDA P/ TUBO DE Ø 0,80M E ALTURA ATÉ 0,50M</v>
          </cell>
          <cell r="C97" t="str">
            <v>ud</v>
          </cell>
          <cell r="D97">
            <v>1619.52</v>
          </cell>
        </row>
        <row r="98">
          <cell r="A98" t="str">
            <v>GAP-92</v>
          </cell>
          <cell r="B98" t="str">
            <v>CAIXA DE QUEDA P/ TUBO DE Ø 0,80M E ALTURA DE 0,50M ATÉ 1,00M</v>
          </cell>
          <cell r="C98" t="str">
            <v>ud</v>
          </cell>
          <cell r="D98">
            <v>2047.72</v>
          </cell>
        </row>
        <row r="99">
          <cell r="A99" t="str">
            <v>GAP-93</v>
          </cell>
          <cell r="B99" t="str">
            <v>CAIXA DE QUEDA P/ TUBO DE Ø 0,80M E ALTURA DE 1,00M ATÉ 1,50M</v>
          </cell>
          <cell r="C99" t="str">
            <v>ud</v>
          </cell>
          <cell r="D99">
            <v>2469.96</v>
          </cell>
        </row>
        <row r="100">
          <cell r="A100" t="str">
            <v>GAP-94</v>
          </cell>
          <cell r="B100" t="str">
            <v>CAIXA DE QUEDA P/ TUBO DE Ø 0,80M E ALTURA DE 1,50M ATÉ 2,00M</v>
          </cell>
          <cell r="C100" t="str">
            <v>ud</v>
          </cell>
          <cell r="D100">
            <v>2897.81</v>
          </cell>
        </row>
        <row r="101">
          <cell r="A101" t="str">
            <v>GAP-95</v>
          </cell>
          <cell r="B101" t="str">
            <v>CAIXA DE QUEDA P/ TUBO DE Ø 1,00M E ALTURA ATÉ 0,50M</v>
          </cell>
          <cell r="C101" t="str">
            <v>ud</v>
          </cell>
          <cell r="D101">
            <v>1845.4</v>
          </cell>
        </row>
        <row r="102">
          <cell r="A102" t="str">
            <v>GAP-96</v>
          </cell>
          <cell r="B102" t="str">
            <v>CAIXA DE QUEDA P/ TUBO DE Ø 1,00M E ALTURA DE 0,50M ATÉ 1,00M</v>
          </cell>
          <cell r="C102" t="str">
            <v>ud</v>
          </cell>
          <cell r="D102">
            <v>2305.86</v>
          </cell>
        </row>
        <row r="103">
          <cell r="A103" t="str">
            <v>GAP-97</v>
          </cell>
          <cell r="B103" t="str">
            <v>CAIXA DE QUEDA P/ TUBO DE Ø 1,00M E ALTURA DE 1,00M ATÉ 1,50M</v>
          </cell>
          <cell r="C103" t="str">
            <v>ud</v>
          </cell>
          <cell r="D103">
            <v>2766.34</v>
          </cell>
        </row>
        <row r="104">
          <cell r="A104" t="str">
            <v>GAP-98</v>
          </cell>
          <cell r="B104" t="str">
            <v>CAIXA DE QUEDA P/ TUBO DE Ø 1,00M E ALTURA DE 1,50M ATÉ 2,00M</v>
          </cell>
          <cell r="C104" t="str">
            <v>ud</v>
          </cell>
          <cell r="D104">
            <v>3226.8</v>
          </cell>
        </row>
        <row r="105">
          <cell r="A105" t="str">
            <v>GAP-99</v>
          </cell>
          <cell r="B105" t="str">
            <v>CAIXA DE QUEDA P/ TUBO DE Ø 1,20M E ALTURA ATÉ 0,50M</v>
          </cell>
          <cell r="C105" t="str">
            <v>ud</v>
          </cell>
          <cell r="D105">
            <v>2028.78</v>
          </cell>
        </row>
        <row r="106">
          <cell r="A106" t="str">
            <v>GAP-100</v>
          </cell>
          <cell r="B106" t="str">
            <v>CAIXA DE QUEDA P/ TUBO DE Ø 1,20M E ALTURA DE 0,50M ATÉ 1,00M</v>
          </cell>
          <cell r="C106" t="str">
            <v>ud</v>
          </cell>
          <cell r="D106">
            <v>2592.2800000000002</v>
          </cell>
        </row>
        <row r="107">
          <cell r="A107" t="str">
            <v>GAP-101</v>
          </cell>
          <cell r="B107" t="str">
            <v>CAIXA DE QUEDA P/ TUBO DE Ø 1,20M E ALTURA DE 1,00M ATÉ 1,50M</v>
          </cell>
          <cell r="C107" t="str">
            <v>ud</v>
          </cell>
          <cell r="D107">
            <v>3085.01</v>
          </cell>
        </row>
        <row r="108">
          <cell r="A108" t="str">
            <v>GAP-102</v>
          </cell>
          <cell r="B108" t="str">
            <v>CAIXA DE QUEDA P/ TUBO DE Ø 1,20M E ALTURA DE 1,50M ATÉ 2,00M</v>
          </cell>
          <cell r="C108" t="str">
            <v>ud</v>
          </cell>
          <cell r="D108">
            <v>3583.7</v>
          </cell>
        </row>
        <row r="109">
          <cell r="A109" t="str">
            <v>GAP-103</v>
          </cell>
          <cell r="B109" t="str">
            <v>POÇO DE VISITA P/ TUBOS DE ATÉ Ø 0,60M C/ TAMPÃO DE FERRO FUNDIDO</v>
          </cell>
          <cell r="C109" t="str">
            <v>ud</v>
          </cell>
          <cell r="D109">
            <v>1402.44</v>
          </cell>
        </row>
        <row r="110">
          <cell r="A110" t="str">
            <v>GAP-104</v>
          </cell>
          <cell r="B110" t="str">
            <v>POÇO DE VISITA P/ TUBOS DE Ø 0,80 M C/ TAMPÃO DE FERRO FUNDIDO</v>
          </cell>
          <cell r="C110" t="str">
            <v>ud</v>
          </cell>
          <cell r="D110">
            <v>1547.91</v>
          </cell>
        </row>
        <row r="111">
          <cell r="A111" t="str">
            <v>GAP-105</v>
          </cell>
          <cell r="B111" t="str">
            <v>POÇO DE VISITA P/ TUBOS DE Ø 1,00 M C/ TAMPÃO DE FERRO FUNDIDO</v>
          </cell>
          <cell r="C111" t="str">
            <v>ud</v>
          </cell>
          <cell r="D111">
            <v>1741.91</v>
          </cell>
        </row>
        <row r="112">
          <cell r="A112" t="str">
            <v>GAP-106</v>
          </cell>
          <cell r="B112" t="str">
            <v>POÇO DE VISITA P/ TUBOS DE Ø 1,20 M C/ TAMPÃO DE FERRO FUNDIDO</v>
          </cell>
          <cell r="C112" t="str">
            <v>ud</v>
          </cell>
          <cell r="D112">
            <v>1889.53</v>
          </cell>
        </row>
        <row r="113">
          <cell r="A113" t="str">
            <v>GAP-107</v>
          </cell>
          <cell r="B113" t="str">
            <v>POÇO DE VISITA P/ TUBOS DE Ø 1,50 M C/ TAMPÃO DE FERRO FUNDIDO</v>
          </cell>
          <cell r="C113" t="str">
            <v>ud</v>
          </cell>
          <cell r="D113">
            <v>2591.48</v>
          </cell>
        </row>
        <row r="114">
          <cell r="A114" t="str">
            <v>GAP-108</v>
          </cell>
          <cell r="B114" t="str">
            <v>POÇO DE VISITA P/ TUBOS DE Ø 1,80 M C/ TAMPÃO DE FERRO FUNDIDO</v>
          </cell>
          <cell r="C114" t="str">
            <v>ud</v>
          </cell>
          <cell r="D114">
            <v>2907.94</v>
          </cell>
        </row>
        <row r="115">
          <cell r="A115" t="str">
            <v>GAP-109</v>
          </cell>
          <cell r="B115" t="str">
            <v>POÇO DE VISITA P/ TUBOS DE Ø 2,00 M C/ TAMPÃO DE FERRO FUNDIDO</v>
          </cell>
          <cell r="C115" t="str">
            <v>ud</v>
          </cell>
          <cell r="D115">
            <v>3855.44</v>
          </cell>
        </row>
        <row r="116">
          <cell r="A116" t="str">
            <v>GAP-110</v>
          </cell>
          <cell r="B116" t="str">
            <v>POÇO DE VISITA P/ TUBOS DE Ø 2,20 M C/ TAMPÃO DE FERRO FUNDIDO</v>
          </cell>
          <cell r="C116" t="str">
            <v>ud</v>
          </cell>
          <cell r="D116">
            <v>4182.84</v>
          </cell>
        </row>
        <row r="117">
          <cell r="A117" t="str">
            <v>GAP-111</v>
          </cell>
          <cell r="B117" t="str">
            <v>POÇO DE VISITA C/ QUEDA P/ TUBOS DE ATÉ Ø 0,60 M, ALTURA DE 0,50 M, C/ TAMPÃO DE FERRO FUNDIDO</v>
          </cell>
          <cell r="C117" t="str">
            <v>ud</v>
          </cell>
          <cell r="D117">
            <v>1792.43</v>
          </cell>
        </row>
        <row r="118">
          <cell r="A118" t="str">
            <v>GAP-112</v>
          </cell>
          <cell r="B118" t="str">
            <v>POÇO DE VISITA C/ QUEDA P/ TUBOS ATÉ Ø 0,60 M, ALTURA DE 0,50 M A 1,00 M, C/ TAMPÃO DE FERRO FUNDIDO</v>
          </cell>
          <cell r="C118" t="str">
            <v>ud</v>
          </cell>
          <cell r="D118">
            <v>2188.38</v>
          </cell>
        </row>
        <row r="119">
          <cell r="A119" t="str">
            <v>GAP-113</v>
          </cell>
          <cell r="B119" t="str">
            <v>POÇO DE VISITA C/ QUEDA P/ TUBOS ATÉ Ø 0,60 M, ALTURA DE 1,00 M A 1,50 M, C/ TAMPÃO DE FERRO FUNDIDO</v>
          </cell>
          <cell r="C119" t="str">
            <v>ud</v>
          </cell>
          <cell r="D119">
            <v>2578.36</v>
          </cell>
        </row>
        <row r="120">
          <cell r="A120" t="str">
            <v>GAP-114</v>
          </cell>
          <cell r="B120" t="str">
            <v>POÇO DE VISITA C/ QUEDA P/ TUBOS ATÉ Ø 0,60 M, ALTURA DE 1,50 M A 2,00 M, C/ TAMPÃO DE FERRO FUNDIDO</v>
          </cell>
          <cell r="C120" t="str">
            <v>ud</v>
          </cell>
          <cell r="D120">
            <v>2968.36</v>
          </cell>
        </row>
        <row r="121">
          <cell r="A121" t="str">
            <v>GAP-115</v>
          </cell>
          <cell r="B121" t="str">
            <v>POÇO DE VISITA C/ QUEDA P/ TUBOS ATÉ Ø 0,80 M, ALTURA ATÉ 0,50 M, C/ TAMPÃO DE FERRO FUNDIDO</v>
          </cell>
          <cell r="C121" t="str">
            <v>ud</v>
          </cell>
          <cell r="D121">
            <v>1976.12</v>
          </cell>
        </row>
        <row r="122">
          <cell r="A122" t="str">
            <v>GAP-116</v>
          </cell>
          <cell r="B122" t="str">
            <v>POÇO DE VISITA C/ QUEDA P/ TUBOS ATÉ Ø 0,80 M, ALTURA DE 0,50 M A 1,00 M, C/ TAMPÃO DE FERRO FUNDIDO</v>
          </cell>
          <cell r="C122" t="str">
            <v>ud</v>
          </cell>
          <cell r="D122">
            <v>2398.37</v>
          </cell>
        </row>
        <row r="123">
          <cell r="A123" t="str">
            <v>GAP-117</v>
          </cell>
          <cell r="B123" t="str">
            <v>POÇO DE VISITA C/ QUEDA P/ TUBOS ATÉ Ø 0,80 M, ALTURA DE 1,00 M A 1,50 M, C/ TAMPÃO DE FERRO FUNDIDO</v>
          </cell>
          <cell r="C123" t="str">
            <v>ud</v>
          </cell>
          <cell r="D123">
            <v>2826.58</v>
          </cell>
        </row>
        <row r="124">
          <cell r="A124" t="str">
            <v>GAP-118</v>
          </cell>
          <cell r="B124" t="str">
            <v>POÇO DE VISITA C/ QUEDA P/ TUBOS ATÉ Ø 0,80 M, ALTURA DE 1,50 M A 2,00 M, C/ TAMPÃO DE FERRO FUNDIDO</v>
          </cell>
          <cell r="C124" t="str">
            <v>ud</v>
          </cell>
          <cell r="D124">
            <v>3248.82</v>
          </cell>
        </row>
        <row r="125">
          <cell r="A125" t="str">
            <v>GAP-119</v>
          </cell>
          <cell r="B125" t="str">
            <v>POÇO DE VISITA C/ QUEDA P/ TUBOS DE Ø 1,00 M, ALTURA ATÉ 0,50 M, C/ TAMPÃO DE FERRO FUNDIDO</v>
          </cell>
          <cell r="C125" t="str">
            <v>ud</v>
          </cell>
          <cell r="D125">
            <v>2202.37</v>
          </cell>
        </row>
        <row r="126">
          <cell r="A126" t="str">
            <v>GAP-120</v>
          </cell>
          <cell r="B126" t="str">
            <v>POÇO DE VISITA C/ QUEDA P/ TUBOS DE Ø 1,00 M, ALTURA DE 0,50 M A 1,00 M, C/ TAMPÃO DE FERRO FUNDIDO</v>
          </cell>
          <cell r="C126" t="str">
            <v>ud</v>
          </cell>
          <cell r="D126">
            <v>2660.28</v>
          </cell>
        </row>
        <row r="127">
          <cell r="A127" t="str">
            <v>GAP-121</v>
          </cell>
          <cell r="B127" t="str">
            <v>POÇO DE VISITA C/ QUEDA P/ TUBOS DE Ø 1,00 M, ALTURA DE 1,00 M A 1,50 M, C/ TAMPÃO DE FERRO FUNDIDO</v>
          </cell>
          <cell r="C127" t="str">
            <v>ud</v>
          </cell>
          <cell r="D127">
            <v>3122.93</v>
          </cell>
        </row>
        <row r="128">
          <cell r="A128" t="str">
            <v>GAP-122</v>
          </cell>
          <cell r="B128" t="str">
            <v>POÇO DE VISITA C/ QUEDA P/ TUBOS DE Ø 1,00 M, ALTURA DE 1,50 M A 2,00 M, C/ TAMPÃO DE FERRO FUNDIDO</v>
          </cell>
          <cell r="C128" t="str">
            <v>ud</v>
          </cell>
          <cell r="D128">
            <v>3583.41</v>
          </cell>
        </row>
        <row r="129">
          <cell r="A129" t="str">
            <v>GAP-123</v>
          </cell>
          <cell r="B129" t="str">
            <v>LASTRO DE MOLEDO PARA ASSENTAMENTO DE TUBOS</v>
          </cell>
          <cell r="C129" t="str">
            <v>m³</v>
          </cell>
          <cell r="D129">
            <v>70.540000000000006</v>
          </cell>
        </row>
        <row r="130">
          <cell r="A130" t="str">
            <v>GAP-124</v>
          </cell>
          <cell r="B130" t="str">
            <v>LASTRO DE PEDRA AMARROADA</v>
          </cell>
          <cell r="C130" t="str">
            <v>m³</v>
          </cell>
          <cell r="D130">
            <v>82.27</v>
          </cell>
        </row>
        <row r="131">
          <cell r="A131" t="str">
            <v>GAP-125</v>
          </cell>
          <cell r="B131" t="str">
            <v>LASTRO DE BRITA</v>
          </cell>
          <cell r="C131" t="str">
            <v>m³</v>
          </cell>
          <cell r="D131">
            <v>83.23</v>
          </cell>
        </row>
        <row r="132">
          <cell r="A132" t="str">
            <v>GAP-126</v>
          </cell>
          <cell r="B132" t="str">
            <v>COLCHÃO DE AREIA</v>
          </cell>
          <cell r="C132" t="str">
            <v>m³</v>
          </cell>
          <cell r="D132">
            <v>92.86</v>
          </cell>
        </row>
        <row r="133">
          <cell r="A133" t="str">
            <v>GAP-127</v>
          </cell>
          <cell r="B133" t="str">
            <v>CIMBRAMENTO DE GALERIA RETANGULAR</v>
          </cell>
          <cell r="C133" t="str">
            <v>m³</v>
          </cell>
          <cell r="D133">
            <v>20.25</v>
          </cell>
        </row>
        <row r="134">
          <cell r="A134" t="str">
            <v>GAP-128</v>
          </cell>
          <cell r="B134" t="str">
            <v>CIMBRAMENTO PARA PONTES</v>
          </cell>
          <cell r="C134" t="str">
            <v>m³</v>
          </cell>
          <cell r="D134">
            <v>31.33</v>
          </cell>
        </row>
        <row r="135">
          <cell r="A135" t="str">
            <v>GAP-129</v>
          </cell>
          <cell r="B135" t="str">
            <v>ESCAVAÇÃO MANUAL EM MATERIAL DURO</v>
          </cell>
          <cell r="C135" t="str">
            <v>m³</v>
          </cell>
          <cell r="D135">
            <v>41.51</v>
          </cell>
        </row>
        <row r="136">
          <cell r="A136" t="str">
            <v>GAP-130</v>
          </cell>
          <cell r="B136" t="str">
            <v>ESCAVAÇÃO MECÂNICA EM MATERIAL DURO</v>
          </cell>
          <cell r="C136" t="str">
            <v>m³</v>
          </cell>
          <cell r="D136">
            <v>10.119999999999999</v>
          </cell>
        </row>
        <row r="137">
          <cell r="A137" t="str">
            <v>GAP-131</v>
          </cell>
          <cell r="B137" t="str">
            <v>ALVENARIA COM PEDRA DE MÃO ARGAMASSADA</v>
          </cell>
          <cell r="C137" t="str">
            <v>m³</v>
          </cell>
          <cell r="D137">
            <v>304.39999999999998</v>
          </cell>
        </row>
        <row r="138">
          <cell r="A138" t="str">
            <v>GAP-132</v>
          </cell>
          <cell r="B138" t="str">
            <v>MURO DE ARRIMO COM GABIÕES</v>
          </cell>
          <cell r="C138" t="str">
            <v>m³</v>
          </cell>
          <cell r="D138">
            <v>338.23</v>
          </cell>
        </row>
        <row r="139">
          <cell r="A139" t="str">
            <v>GAP-133</v>
          </cell>
          <cell r="B139" t="str">
            <v>ESCORAMENTO LATERAL DE VALAS</v>
          </cell>
          <cell r="C139" t="str">
            <v>m²</v>
          </cell>
          <cell r="D139">
            <v>43.36</v>
          </cell>
        </row>
        <row r="140">
          <cell r="A140" t="str">
            <v>GAP-134</v>
          </cell>
          <cell r="B140" t="str">
            <v>CONCRETO MAGRO</v>
          </cell>
          <cell r="C140" t="str">
            <v>m³</v>
          </cell>
          <cell r="D140">
            <v>301.73</v>
          </cell>
        </row>
        <row r="141">
          <cell r="A141" t="str">
            <v>GAP-135</v>
          </cell>
          <cell r="B141" t="str">
            <v>CONCRETO CICLÓPICO</v>
          </cell>
          <cell r="C141" t="str">
            <v>m³</v>
          </cell>
          <cell r="D141">
            <v>270.11</v>
          </cell>
        </row>
        <row r="142">
          <cell r="A142" t="str">
            <v>GAP-136</v>
          </cell>
          <cell r="B142" t="str">
            <v>CONCRETO Fck= 15,0 Mpa COM BETONEIRA</v>
          </cell>
          <cell r="C142" t="str">
            <v>m³</v>
          </cell>
          <cell r="D142">
            <v>349.33</v>
          </cell>
        </row>
        <row r="143">
          <cell r="A143" t="str">
            <v>GAP-137</v>
          </cell>
          <cell r="B143" t="str">
            <v>CONCRETO USINADO Fck=   9,0 Mpa APLICADO</v>
          </cell>
          <cell r="C143" t="str">
            <v>m³</v>
          </cell>
          <cell r="D143">
            <v>357.69</v>
          </cell>
        </row>
        <row r="144">
          <cell r="A144" t="str">
            <v>GAP-138</v>
          </cell>
          <cell r="B144" t="str">
            <v>CONCRETO USINADO Fck= 10,0 Mpa APLICADO</v>
          </cell>
          <cell r="C144" t="str">
            <v>m³</v>
          </cell>
          <cell r="D144">
            <v>363.71</v>
          </cell>
        </row>
        <row r="145">
          <cell r="A145" t="str">
            <v>GAP-139</v>
          </cell>
          <cell r="B145" t="str">
            <v>CONCRETO USINADO Fck= 15,0 Mpa APLICADO</v>
          </cell>
          <cell r="C145" t="str">
            <v>m³</v>
          </cell>
          <cell r="D145">
            <v>373.21</v>
          </cell>
        </row>
        <row r="146">
          <cell r="A146" t="str">
            <v>GAP-140</v>
          </cell>
          <cell r="B146" t="str">
            <v>CONCRETO USINADO Fck= 18,0 Mpa APLICADO</v>
          </cell>
          <cell r="C146" t="str">
            <v>m³</v>
          </cell>
          <cell r="D146">
            <v>380.91</v>
          </cell>
        </row>
        <row r="147">
          <cell r="A147" t="str">
            <v>GAP-141</v>
          </cell>
          <cell r="B147" t="str">
            <v>CONCRETO USINADO Fck= 20,0 Mpa APLICADO</v>
          </cell>
          <cell r="C147" t="str">
            <v>m³</v>
          </cell>
          <cell r="D147">
            <v>389.7</v>
          </cell>
        </row>
        <row r="148">
          <cell r="A148" t="str">
            <v>GAP-142</v>
          </cell>
          <cell r="B148" t="str">
            <v>CONCRETO USINADO Fck= 25,0 Mpa APLICADO</v>
          </cell>
          <cell r="C148" t="str">
            <v>m³</v>
          </cell>
          <cell r="D148">
            <v>401.49</v>
          </cell>
        </row>
        <row r="149">
          <cell r="A149" t="str">
            <v>GAP-143</v>
          </cell>
          <cell r="B149" t="str">
            <v>CONCRETO USINADO Fck= 30,0 Mpa APLICADO</v>
          </cell>
          <cell r="C149" t="str">
            <v>m³</v>
          </cell>
          <cell r="D149">
            <v>417.85</v>
          </cell>
        </row>
        <row r="150">
          <cell r="A150" t="str">
            <v>GAP-144</v>
          </cell>
          <cell r="B150" t="str">
            <v>CONCRETO USINADO Fck= 35,0 Mpa APLICADO</v>
          </cell>
          <cell r="C150" t="str">
            <v>m³</v>
          </cell>
          <cell r="D150">
            <v>434.09</v>
          </cell>
        </row>
        <row r="151">
          <cell r="A151" t="str">
            <v>GAP-145</v>
          </cell>
          <cell r="B151" t="str">
            <v>FORMA DE MADEIRA</v>
          </cell>
          <cell r="C151" t="str">
            <v>m²</v>
          </cell>
          <cell r="D151">
            <v>43.8</v>
          </cell>
        </row>
        <row r="152">
          <cell r="A152" t="str">
            <v>GAP-146</v>
          </cell>
          <cell r="B152" t="str">
            <v>FORMA DE MADEIRA COMPENSADA RESINADA 12mm</v>
          </cell>
          <cell r="C152" t="str">
            <v>m²</v>
          </cell>
          <cell r="D152">
            <v>52.38</v>
          </cell>
        </row>
        <row r="153">
          <cell r="A153" t="str">
            <v>GAP-147</v>
          </cell>
          <cell r="B153" t="str">
            <v>FERRAGEM CA-50</v>
          </cell>
          <cell r="C153" t="str">
            <v>kg</v>
          </cell>
          <cell r="D153">
            <v>5.97</v>
          </cell>
        </row>
        <row r="154">
          <cell r="A154" t="str">
            <v>GAP-148</v>
          </cell>
          <cell r="B154" t="str">
            <v>FERRAGEM CA-60</v>
          </cell>
          <cell r="C154" t="str">
            <v>kg</v>
          </cell>
          <cell r="D154">
            <v>5.64</v>
          </cell>
        </row>
        <row r="155">
          <cell r="A155" t="str">
            <v>GAP-149</v>
          </cell>
          <cell r="B155" t="str">
            <v>ARGAMASSA DE CIMENTO E AREIA 1:3</v>
          </cell>
          <cell r="C155" t="str">
            <v>m³</v>
          </cell>
          <cell r="D155">
            <v>407.48</v>
          </cell>
        </row>
        <row r="156">
          <cell r="A156" t="str">
            <v>GAP-150</v>
          </cell>
          <cell r="B156" t="str">
            <v>ESGOTAMENTO CONTÍNUO D'ÁGUA</v>
          </cell>
          <cell r="C156" t="str">
            <v>h</v>
          </cell>
          <cell r="D156">
            <v>4.4000000000000004</v>
          </cell>
        </row>
        <row r="157">
          <cell r="A157" t="str">
            <v>GAP-151</v>
          </cell>
          <cell r="B157" t="str">
            <v>DRENAGEM C/TUBO DE PVC Ø  75 MM</v>
          </cell>
          <cell r="C157" t="str">
            <v>m</v>
          </cell>
          <cell r="D157">
            <v>13.78</v>
          </cell>
        </row>
        <row r="158">
          <cell r="A158" t="str">
            <v>GAP-152</v>
          </cell>
          <cell r="B158" t="str">
            <v>DRENAGEM C/TUBO DE PVC Ø 100MM</v>
          </cell>
          <cell r="C158" t="str">
            <v>m</v>
          </cell>
          <cell r="D158">
            <v>15.36</v>
          </cell>
        </row>
        <row r="159">
          <cell r="A159" t="str">
            <v>GAP-153</v>
          </cell>
          <cell r="B159" t="str">
            <v>MANTA GEOTÊXTIL RT - 7 COM RESISTÊNCIA À TRAÇÃO DE   7 KN / M</v>
          </cell>
          <cell r="C159" t="str">
            <v>m²</v>
          </cell>
          <cell r="D159">
            <v>2.94</v>
          </cell>
        </row>
        <row r="160">
          <cell r="A160" t="str">
            <v>GAP-154</v>
          </cell>
          <cell r="B160" t="str">
            <v>MANTA GEOTÊXTIL RT-10 COM RESISTÊNCIA À TRAÇÃO DE 10 KN / M</v>
          </cell>
          <cell r="C160" t="str">
            <v>m²</v>
          </cell>
          <cell r="D160">
            <v>4.0999999999999996</v>
          </cell>
        </row>
        <row r="161">
          <cell r="A161" t="str">
            <v>GAP-155</v>
          </cell>
          <cell r="B161" t="str">
            <v>MANTA GEOTÊXTIL RT-14 COM RESISTÊNCIA À TRAÇÃO DE 14 KN / M</v>
          </cell>
          <cell r="C161" t="str">
            <v>m²</v>
          </cell>
          <cell r="D161">
            <v>5.0199999999999996</v>
          </cell>
        </row>
        <row r="163">
          <cell r="A163" t="str">
            <v>TERRAPLENAGEM</v>
          </cell>
        </row>
        <row r="164">
          <cell r="A164" t="str">
            <v>CÓDIGO</v>
          </cell>
          <cell r="B164" t="str">
            <v>DISCRIMINAÇÃO</v>
          </cell>
          <cell r="C164" t="str">
            <v>UN</v>
          </cell>
        </row>
        <row r="165">
          <cell r="A165" t="str">
            <v>TER-1</v>
          </cell>
          <cell r="B165" t="str">
            <v>ESCAVAÇÃO E CARGA EM MATERIAL DE 1ª CATEGORIA</v>
          </cell>
          <cell r="C165" t="str">
            <v>m³</v>
          </cell>
          <cell r="D165">
            <v>3.79</v>
          </cell>
        </row>
        <row r="166">
          <cell r="A166" t="str">
            <v>TER-2</v>
          </cell>
          <cell r="B166" t="str">
            <v>ESCAVAÇÃO E CARGA EM MATERIAL DE BAIXA RESISTÊNCIA</v>
          </cell>
          <cell r="C166" t="str">
            <v>m³</v>
          </cell>
          <cell r="D166">
            <v>5.05</v>
          </cell>
        </row>
        <row r="167">
          <cell r="A167" t="str">
            <v>TER-3</v>
          </cell>
          <cell r="B167" t="str">
            <v>CARGA MECÂNICA DE MATERIAL EM CAMINHÃO</v>
          </cell>
          <cell r="C167" t="str">
            <v>m³</v>
          </cell>
          <cell r="D167">
            <v>1.1299999999999999</v>
          </cell>
        </row>
        <row r="168">
          <cell r="A168" t="str">
            <v>TER-4</v>
          </cell>
          <cell r="B168" t="str">
            <v>MATERIAL DE EMPRÉSTIMO PARA ATERRO (S/ TRANSPORTE)</v>
          </cell>
          <cell r="C168" t="str">
            <v>m³</v>
          </cell>
          <cell r="D168">
            <v>3.79</v>
          </cell>
        </row>
        <row r="169">
          <cell r="A169" t="str">
            <v>TER-5</v>
          </cell>
          <cell r="B169" t="str">
            <v>ESPALHAMENTO DO MATERIAL PARA ATERRO</v>
          </cell>
          <cell r="C169" t="str">
            <v>m³</v>
          </cell>
          <cell r="D169">
            <v>0.75</v>
          </cell>
        </row>
        <row r="170">
          <cell r="A170" t="str">
            <v>TER-6</v>
          </cell>
          <cell r="B170" t="str">
            <v>COMPACTAÇÃO DE ATERRO</v>
          </cell>
          <cell r="C170" t="str">
            <v>m³</v>
          </cell>
          <cell r="D170">
            <v>1.55</v>
          </cell>
        </row>
        <row r="171">
          <cell r="A171" t="str">
            <v>TER-7</v>
          </cell>
          <cell r="B171" t="str">
            <v>TRANSP. MAT. C/ CAMINHÃO BASC.  DMT ATÉ 500 M</v>
          </cell>
          <cell r="C171" t="str">
            <v>m³</v>
          </cell>
          <cell r="D171">
            <v>1.1299999999999999</v>
          </cell>
        </row>
        <row r="172">
          <cell r="A172" t="str">
            <v>TER-8</v>
          </cell>
          <cell r="B172" t="str">
            <v>TRANSP. MAT. C/ CAMINHÃO BASC.  DMT 501 a 1.000 M</v>
          </cell>
          <cell r="C172" t="str">
            <v>m³</v>
          </cell>
          <cell r="D172">
            <v>1.4</v>
          </cell>
        </row>
        <row r="173">
          <cell r="A173" t="str">
            <v>TER-9</v>
          </cell>
          <cell r="B173" t="str">
            <v>TRANSP. MAT. C/ CAMINHÃO BASC.  DMT 1.001 a 5.000 M</v>
          </cell>
          <cell r="C173" t="str">
            <v>m³</v>
          </cell>
          <cell r="D173">
            <v>3.5</v>
          </cell>
        </row>
        <row r="174">
          <cell r="A174" t="str">
            <v>TER-10</v>
          </cell>
          <cell r="B174" t="str">
            <v>TRANSP. MAT. C/ CAMINHÃO BASC.  DMT 5.001 a 10.000 M</v>
          </cell>
          <cell r="C174" t="str">
            <v>m³</v>
          </cell>
          <cell r="D174">
            <v>6.12</v>
          </cell>
        </row>
        <row r="175">
          <cell r="A175" t="str">
            <v>TER-11</v>
          </cell>
          <cell r="B175" t="str">
            <v>TRANSP. MAT. C/ CAMINHÃO BASC.  DMT 10.001 a 15.000 M</v>
          </cell>
          <cell r="C175" t="str">
            <v>m³</v>
          </cell>
          <cell r="D175">
            <v>8.73</v>
          </cell>
        </row>
        <row r="176">
          <cell r="A176" t="str">
            <v>TER-12</v>
          </cell>
          <cell r="B176" t="str">
            <v>TRANSP. MAT. C/ CAMINHÃO BASC.  DMT 15.001 a 20.000 M</v>
          </cell>
          <cell r="C176" t="str">
            <v>m³</v>
          </cell>
          <cell r="D176">
            <v>11.36</v>
          </cell>
        </row>
        <row r="177">
          <cell r="A177" t="str">
            <v>TER-13</v>
          </cell>
          <cell r="B177" t="str">
            <v>TRANSP. MAT. C/ CAMINHÃO BASC.  DMT ACIMA DE 20.001 M</v>
          </cell>
          <cell r="C177" t="str">
            <v>m³.km</v>
          </cell>
          <cell r="D177">
            <v>0.56999999999999995</v>
          </cell>
        </row>
        <row r="178">
          <cell r="A178" t="str">
            <v>TER-14</v>
          </cell>
          <cell r="B178" t="str">
            <v>REGULARIZAÇÃO DO SUB-LEITO</v>
          </cell>
          <cell r="C178" t="str">
            <v>m²</v>
          </cell>
          <cell r="D178">
            <v>0.76</v>
          </cell>
        </row>
        <row r="179">
          <cell r="A179" t="str">
            <v>TER-15</v>
          </cell>
          <cell r="B179" t="str">
            <v>COMPACTAÇÃO DO SUB-LEITO</v>
          </cell>
          <cell r="C179" t="str">
            <v>m²</v>
          </cell>
          <cell r="D179">
            <v>0.51</v>
          </cell>
        </row>
        <row r="181">
          <cell r="A181" t="str">
            <v>PAVIMENTAÇÃO</v>
          </cell>
        </row>
        <row r="182">
          <cell r="A182" t="str">
            <v>CÓDIGO</v>
          </cell>
          <cell r="B182" t="str">
            <v>DISCRIMINAÇÃO</v>
          </cell>
          <cell r="C182" t="str">
            <v>UN</v>
          </cell>
        </row>
        <row r="183">
          <cell r="A183" t="str">
            <v>PAV-1</v>
          </cell>
          <cell r="B183" t="str">
            <v>SUBSTITUIÇÃO DE MATERIAL INSERVÍVEL COM AREIA</v>
          </cell>
          <cell r="C183" t="str">
            <v>m³</v>
          </cell>
          <cell r="D183">
            <v>67.83</v>
          </cell>
        </row>
        <row r="184">
          <cell r="A184" t="str">
            <v>PAV-2</v>
          </cell>
          <cell r="B184" t="str">
            <v>EXECUÇÃO DE SUB BASE DE SAIBRO COMPACTADO</v>
          </cell>
          <cell r="C184" t="str">
            <v>m³</v>
          </cell>
          <cell r="D184">
            <v>57.3</v>
          </cell>
        </row>
        <row r="185">
          <cell r="A185" t="str">
            <v>PAV-3</v>
          </cell>
          <cell r="B185" t="str">
            <v>EXECUÇÃO DE SUB BASE DE MOLEDO COMPACTADO</v>
          </cell>
          <cell r="C185" t="str">
            <v>m³</v>
          </cell>
          <cell r="D185">
            <v>60.07</v>
          </cell>
        </row>
        <row r="186">
          <cell r="A186" t="str">
            <v>PAV-4</v>
          </cell>
          <cell r="B186" t="str">
            <v>EXECUÇÃO DE BASE DE BRITA 4A COMPACTADO</v>
          </cell>
          <cell r="C186" t="str">
            <v>m³</v>
          </cell>
          <cell r="D186">
            <v>80.040000000000006</v>
          </cell>
        </row>
        <row r="187">
          <cell r="A187" t="str">
            <v>PAV-5</v>
          </cell>
          <cell r="B187" t="str">
            <v>EXECUÇÃO DE BASE DE BRITA GRADUADA</v>
          </cell>
          <cell r="C187" t="str">
            <v>m³</v>
          </cell>
          <cell r="D187">
            <v>94.06</v>
          </cell>
        </row>
        <row r="188">
          <cell r="A188" t="str">
            <v>PAV-6</v>
          </cell>
          <cell r="B188" t="str">
            <v>EXECUÇÃO DE BASE DE MACADAME HIDRÁULICO</v>
          </cell>
          <cell r="C188" t="str">
            <v>m³</v>
          </cell>
          <cell r="D188">
            <v>107.3</v>
          </cell>
        </row>
        <row r="189">
          <cell r="A189" t="str">
            <v>PAV-7</v>
          </cell>
          <cell r="B189" t="str">
            <v>IMPRIMAÇÃO C/ EMULSÃO RM -1C</v>
          </cell>
          <cell r="C189" t="str">
            <v>m²</v>
          </cell>
          <cell r="D189">
            <v>2.13</v>
          </cell>
        </row>
        <row r="190">
          <cell r="A190" t="str">
            <v>PAV-8</v>
          </cell>
          <cell r="B190" t="str">
            <v>PINTURA DE LIGAÇÃO C/EMULSÃO RM -1C</v>
          </cell>
          <cell r="C190" t="str">
            <v>m²</v>
          </cell>
          <cell r="D190">
            <v>1.31</v>
          </cell>
        </row>
        <row r="191">
          <cell r="A191" t="str">
            <v>PAV-9</v>
          </cell>
          <cell r="B191" t="str">
            <v>EXECUÇÃO DE TSB SIMPLES COM CAPA SELANTE</v>
          </cell>
          <cell r="C191" t="str">
            <v>m²</v>
          </cell>
          <cell r="D191">
            <v>7.76</v>
          </cell>
        </row>
        <row r="192">
          <cell r="A192" t="str">
            <v>PAV-10</v>
          </cell>
          <cell r="B192" t="str">
            <v>EXECUÇÃO DE TSB DUPLO COM CAPA SELANTE</v>
          </cell>
          <cell r="C192" t="str">
            <v>m²</v>
          </cell>
          <cell r="D192">
            <v>12.5</v>
          </cell>
        </row>
        <row r="193">
          <cell r="A193" t="str">
            <v>PAV-11</v>
          </cell>
          <cell r="B193" t="str">
            <v>PRE-MISTURADO A FRIO POSTO USINA</v>
          </cell>
          <cell r="C193" t="str">
            <v>t</v>
          </cell>
          <cell r="D193">
            <v>118.39</v>
          </cell>
        </row>
        <row r="194">
          <cell r="A194" t="str">
            <v>PAV-12</v>
          </cell>
          <cell r="B194" t="str">
            <v>CONCR. PRÉ-MISTURADO USINADO A QUENTE FAIXA “A” POSTO USINA</v>
          </cell>
          <cell r="C194" t="str">
            <v>t</v>
          </cell>
          <cell r="D194">
            <v>135.51</v>
          </cell>
        </row>
        <row r="195">
          <cell r="A195" t="str">
            <v>PAV-13</v>
          </cell>
          <cell r="B195" t="str">
            <v>CONCR. PRÉ-MISTURADO USINADO A QUENTE FAIXA “C” POSTO USINA</v>
          </cell>
          <cell r="C195" t="str">
            <v>t</v>
          </cell>
          <cell r="D195">
            <v>148.22999999999999</v>
          </cell>
        </row>
        <row r="196">
          <cell r="A196" t="str">
            <v>PAV-14</v>
          </cell>
          <cell r="B196" t="str">
            <v>REVESTIMENTO COM PRÉ-MISTURADO A FRIO</v>
          </cell>
          <cell r="C196" t="str">
            <v>m³</v>
          </cell>
          <cell r="D196">
            <v>304.38</v>
          </cell>
        </row>
        <row r="197">
          <cell r="A197" t="str">
            <v>PAV-15</v>
          </cell>
          <cell r="B197" t="str">
            <v>REVEST. C/CONCRETO BETUMINOSO USINADO A QUENTE FAIXA “A”</v>
          </cell>
          <cell r="C197" t="str">
            <v>m³</v>
          </cell>
          <cell r="D197">
            <v>378.64</v>
          </cell>
        </row>
        <row r="198">
          <cell r="A198" t="str">
            <v>PAV-16</v>
          </cell>
          <cell r="B198" t="str">
            <v>REVEST. C/CONCRETO BETUMINOSO USINADO A QUENTE FAIXA “C”</v>
          </cell>
          <cell r="C198" t="str">
            <v>m³</v>
          </cell>
          <cell r="D198">
            <v>410.08</v>
          </cell>
        </row>
        <row r="199">
          <cell r="A199" t="str">
            <v>PAV-17</v>
          </cell>
          <cell r="B199" t="str">
            <v>EXECUÇÃO DE RECAPE COM LAMA ASFÁLTICA, ESP. 1,0 A 1,5 CM</v>
          </cell>
          <cell r="C199" t="str">
            <v>m²</v>
          </cell>
          <cell r="D199">
            <v>5.32</v>
          </cell>
        </row>
        <row r="200">
          <cell r="A200" t="str">
            <v>PAV-18</v>
          </cell>
          <cell r="B200" t="str">
            <v>REVESTIMENTO C/PARALELEPÍPEDOS REJUNTADOS C/AREIA</v>
          </cell>
          <cell r="C200" t="str">
            <v>m²</v>
          </cell>
          <cell r="D200">
            <v>65.44</v>
          </cell>
        </row>
        <row r="201">
          <cell r="A201" t="str">
            <v>PAV-19</v>
          </cell>
          <cell r="B201" t="str">
            <v>REVESTIMENTO C/PARALELEPÍPEDOS REJUNTADOS C/ARGAMASSA</v>
          </cell>
          <cell r="C201" t="str">
            <v>m²</v>
          </cell>
          <cell r="D201">
            <v>79.91</v>
          </cell>
        </row>
        <row r="202">
          <cell r="A202" t="str">
            <v>PAV-20</v>
          </cell>
          <cell r="B202" t="str">
            <v>FORNEC/ASSENT. DE MEIO FIO DE CONCRETO PRÉ MOLD.C/SARJETA</v>
          </cell>
          <cell r="C202" t="str">
            <v>m</v>
          </cell>
          <cell r="D202">
            <v>33.299999999999997</v>
          </cell>
        </row>
        <row r="203">
          <cell r="A203" t="str">
            <v>PAV-21</v>
          </cell>
          <cell r="B203" t="str">
            <v>FORNEC/ASSENT. DE MEIO FIO DE GRANITO RETO</v>
          </cell>
          <cell r="C203" t="str">
            <v>m</v>
          </cell>
          <cell r="D203">
            <v>48.14</v>
          </cell>
        </row>
        <row r="204">
          <cell r="A204" t="str">
            <v>PAV-22</v>
          </cell>
          <cell r="B204" t="str">
            <v>FORNEC/ASSENT. DE MEIO FIO DE GRANITO CURVO</v>
          </cell>
          <cell r="C204" t="str">
            <v>m</v>
          </cell>
          <cell r="D204">
            <v>58.36</v>
          </cell>
        </row>
        <row r="205">
          <cell r="A205" t="str">
            <v>PAV-23</v>
          </cell>
          <cell r="B205" t="str">
            <v>FORNEC/ASSENT. MEIO FIO DE CONCRETO MOLDADO IN-LOCO</v>
          </cell>
          <cell r="C205" t="str">
            <v>m</v>
          </cell>
          <cell r="D205">
            <v>24.66</v>
          </cell>
        </row>
        <row r="206">
          <cell r="A206" t="str">
            <v>PAV-24</v>
          </cell>
          <cell r="B206" t="str">
            <v>FORNEC/ASSENT. SARJETA C/ 01 PARALELEPÍPEDO REJUNTADO</v>
          </cell>
          <cell r="C206" t="str">
            <v>m</v>
          </cell>
          <cell r="D206">
            <v>13.44</v>
          </cell>
        </row>
        <row r="207">
          <cell r="A207" t="str">
            <v>PAV-25</v>
          </cell>
          <cell r="B207" t="str">
            <v>FORNEC/ASSENT. SARJETA C/ 02 PARALELEPÍPEDOS REJUNTADOS</v>
          </cell>
          <cell r="C207" t="str">
            <v>m</v>
          </cell>
          <cell r="D207">
            <v>30.01</v>
          </cell>
        </row>
        <row r="208">
          <cell r="A208" t="str">
            <v>PAV-26</v>
          </cell>
          <cell r="B208" t="str">
            <v>ARRANC. MANUAL DE PARALELEPÍPEDOS REJUNTADOS C/ AREIA</v>
          </cell>
          <cell r="C208" t="str">
            <v>m²</v>
          </cell>
          <cell r="D208">
            <v>6.85</v>
          </cell>
        </row>
        <row r="209">
          <cell r="A209" t="str">
            <v>PAV-27</v>
          </cell>
          <cell r="B209" t="str">
            <v>ARRANC. MANUAL DE PARALELEPÍPEDOS REJUNTADOS C/ ARGAMASSA</v>
          </cell>
          <cell r="C209" t="str">
            <v>m²</v>
          </cell>
          <cell r="D209">
            <v>9.1300000000000008</v>
          </cell>
        </row>
        <row r="210">
          <cell r="A210" t="str">
            <v>PAV-28</v>
          </cell>
          <cell r="B210" t="str">
            <v>ARRANC. DE MEIO FIO DE CONCRETO</v>
          </cell>
          <cell r="C210" t="str">
            <v>m</v>
          </cell>
          <cell r="D210">
            <v>6.39</v>
          </cell>
        </row>
        <row r="211">
          <cell r="A211" t="str">
            <v>PAV-29</v>
          </cell>
          <cell r="B211" t="str">
            <v>ARRANC. DE MEIO FIO DE GRANITO</v>
          </cell>
          <cell r="C211" t="str">
            <v>m</v>
          </cell>
          <cell r="D211">
            <v>9.1300000000000008</v>
          </cell>
        </row>
        <row r="212">
          <cell r="A212" t="str">
            <v>PAV-30</v>
          </cell>
          <cell r="B212" t="str">
            <v>ARRANC. DE SARJETA C/ 01 PARALELEPÍPEDO REJUNTADO</v>
          </cell>
          <cell r="C212" t="str">
            <v>m</v>
          </cell>
          <cell r="D212">
            <v>3.42</v>
          </cell>
        </row>
        <row r="213">
          <cell r="A213" t="str">
            <v>PAV-31</v>
          </cell>
          <cell r="B213" t="str">
            <v>ARRANC. DE SARJETA C/ 02 PARALELEPÍPEDOS REJUNTADOS</v>
          </cell>
          <cell r="C213" t="str">
            <v>m</v>
          </cell>
          <cell r="D213">
            <v>4.5599999999999996</v>
          </cell>
        </row>
        <row r="214">
          <cell r="A214" t="str">
            <v>PAV-32</v>
          </cell>
          <cell r="B214" t="str">
            <v>ARRANC./REASSENT. DE PARALELEPÍPEDOS REJUNTADOS C/ AREIA</v>
          </cell>
          <cell r="C214" t="str">
            <v>m²</v>
          </cell>
          <cell r="D214">
            <v>31.38</v>
          </cell>
        </row>
        <row r="215">
          <cell r="A215" t="str">
            <v>PAV-33</v>
          </cell>
          <cell r="B215" t="str">
            <v>ARRANC./REASSENT. DE PARALELEPÍPEDOS REJUNTADOS C/ ARGAMASSA</v>
          </cell>
          <cell r="C215" t="str">
            <v>m²</v>
          </cell>
          <cell r="D215">
            <v>48.12</v>
          </cell>
        </row>
        <row r="216">
          <cell r="A216" t="str">
            <v>PAV-34</v>
          </cell>
          <cell r="B216" t="str">
            <v>ARRANC/REASSENT. MEIO FIO DE CONCRETO PRÉ-MOLD. C/ SARJETA</v>
          </cell>
          <cell r="C216" t="str">
            <v>m</v>
          </cell>
          <cell r="D216">
            <v>21.36</v>
          </cell>
        </row>
        <row r="217">
          <cell r="A217" t="str">
            <v>PAV-35</v>
          </cell>
          <cell r="B217" t="str">
            <v>ARRANC/REASSENT. DE MEIO FIO DE GRANITO</v>
          </cell>
          <cell r="C217" t="str">
            <v>m</v>
          </cell>
          <cell r="D217">
            <v>25.01</v>
          </cell>
        </row>
        <row r="218">
          <cell r="A218" t="str">
            <v>PAV-36</v>
          </cell>
          <cell r="B218" t="str">
            <v>ARRANC/REASSENT. SARJETA C/ 01 PARALELEPÍPEDO REJUNTADO</v>
          </cell>
          <cell r="C218" t="str">
            <v>m</v>
          </cell>
          <cell r="D218">
            <v>10.85</v>
          </cell>
        </row>
        <row r="219">
          <cell r="A219" t="str">
            <v>PAV-37</v>
          </cell>
          <cell r="B219" t="str">
            <v>ARRANC/REASSENT. SARJETA C/ 02 PARALELEPÍPEDOS REJUNTADOS</v>
          </cell>
          <cell r="C219" t="str">
            <v>m</v>
          </cell>
          <cell r="D219">
            <v>22.53</v>
          </cell>
        </row>
        <row r="220">
          <cell r="A220" t="str">
            <v>PAV-38</v>
          </cell>
          <cell r="B220" t="str">
            <v>DRENAGEM SUPERFICIAL C/ BRITA 0,30 X 0,40M SOB MEIO FIO</v>
          </cell>
          <cell r="C220" t="str">
            <v>m</v>
          </cell>
          <cell r="D220">
            <v>26.6</v>
          </cell>
        </row>
        <row r="221">
          <cell r="A221" t="str">
            <v>PAV-39</v>
          </cell>
          <cell r="B221" t="str">
            <v>CORTE DE PAVIMENTO ASFÁLTICO C/ COMPRESSOR E MARTELETE</v>
          </cell>
          <cell r="C221" t="str">
            <v>m²</v>
          </cell>
          <cell r="D221">
            <v>7.57</v>
          </cell>
        </row>
        <row r="222">
          <cell r="A222" t="str">
            <v>PAV-40</v>
          </cell>
          <cell r="B222" t="str">
            <v>ARRANC. E CARGA DE CAPA ASFÁLTICA C/ ESCAVADEIRA</v>
          </cell>
          <cell r="C222" t="str">
            <v>m3</v>
          </cell>
          <cell r="D222">
            <v>21.68</v>
          </cell>
        </row>
        <row r="223">
          <cell r="A223" t="str">
            <v>PAV-41</v>
          </cell>
          <cell r="B223" t="str">
            <v>ARRANC. E CARGA MECÂNICA DE PARALELEPÍPEDOS</v>
          </cell>
          <cell r="C223" t="str">
            <v>m²</v>
          </cell>
          <cell r="D223">
            <v>2.17</v>
          </cell>
        </row>
        <row r="224">
          <cell r="A224" t="str">
            <v>PAV-42</v>
          </cell>
          <cell r="B224" t="str">
            <v>C.B.U.Q. (FAIXA ESPECIAL)</v>
          </cell>
          <cell r="C224" t="str">
            <v>t</v>
          </cell>
          <cell r="D224">
            <v>154.03</v>
          </cell>
        </row>
        <row r="225">
          <cell r="A225" t="str">
            <v>PAV-43</v>
          </cell>
          <cell r="B225" t="str">
            <v>REVESTIMENTO CBUQ FAIXA ESPECIAL</v>
          </cell>
          <cell r="C225" t="str">
            <v>m³</v>
          </cell>
          <cell r="D225">
            <v>424.39</v>
          </cell>
        </row>
        <row r="226">
          <cell r="A226" t="str">
            <v>PAV-44</v>
          </cell>
          <cell r="B226" t="str">
            <v>CONCRETO COMPACTADO A ROLO FCTMK= 1,5 MPA</v>
          </cell>
          <cell r="C226" t="str">
            <v>m³</v>
          </cell>
          <cell r="D226">
            <v>206.07</v>
          </cell>
        </row>
        <row r="227">
          <cell r="A227" t="str">
            <v>PAV-45</v>
          </cell>
          <cell r="B227" t="str">
            <v>PLACA DE CONCRETO DE CIMENTO PORTLAND FCTMK= 4,5 MPA
COM RÉGUA VIBRATÓRIA SIMPLES, INCLUSIVE FORMA METÁLICA</v>
          </cell>
          <cell r="C227" t="str">
            <v>m³</v>
          </cell>
          <cell r="D227">
            <v>370.93</v>
          </cell>
        </row>
        <row r="228">
          <cell r="A228" t="str">
            <v>PAV-46</v>
          </cell>
          <cell r="B228" t="str">
            <v>PLACA DE CONCRETO DE CIMENTO PORTLAND FCTMK= 5,5 MPA
COM RÉGUA VIBRATÓRIA SIMPLES, INCLUSIVE FORMA METÁLICA</v>
          </cell>
          <cell r="C228" t="str">
            <v>m³</v>
          </cell>
          <cell r="D228">
            <v>424.35</v>
          </cell>
        </row>
        <row r="229">
          <cell r="A229" t="str">
            <v>PAV-47</v>
          </cell>
          <cell r="B229" t="str">
            <v>PLACA DE CONCRETO DE CIMENTO PORTLAND FctmK=4,5 MPA C/RÉGUA VIBRATÓRIA SIMPLES E ADIÇÃO DE FIBRA DE POLIPROPILENO, INCLUSIVE FORMA METÁLICA</v>
          </cell>
          <cell r="C229" t="str">
            <v>m³</v>
          </cell>
          <cell r="D229">
            <v>387.53</v>
          </cell>
        </row>
        <row r="230">
          <cell r="A230" t="str">
            <v>PAV-48</v>
          </cell>
          <cell r="B230" t="str">
            <v>PLACA DE CONCRETO DE CIMENTO PORTLAND FctmK=5,5 MPA C/RÉGUA VIBRATÓRIA SIMPLES E ADIÇÃO DE FIBRA DE POLIPROPILENO, INCLUSIVE FORMA METÁLICA</v>
          </cell>
          <cell r="C230" t="str">
            <v>m³</v>
          </cell>
          <cell r="D230">
            <v>440.95</v>
          </cell>
        </row>
        <row r="231">
          <cell r="A231" t="str">
            <v>PAV-49</v>
          </cell>
          <cell r="B231" t="str">
            <v>FORNECIMENTO E APLICAÇÃO DE LONA PLÁSTICA</v>
          </cell>
          <cell r="C231" t="str">
            <v>m²</v>
          </cell>
          <cell r="D231">
            <v>1.34</v>
          </cell>
        </row>
        <row r="232">
          <cell r="A232" t="str">
            <v>PAV-50</v>
          </cell>
          <cell r="B232" t="str">
            <v>CURA ÚMIDA DE PLACA DE CONCRETO</v>
          </cell>
          <cell r="C232" t="str">
            <v>m²</v>
          </cell>
          <cell r="D232">
            <v>1.92</v>
          </cell>
        </row>
        <row r="233">
          <cell r="A233" t="str">
            <v>PAV-51</v>
          </cell>
          <cell r="B233" t="str">
            <v>CURA QUÍMICA DE PLACA DE CONCRETO</v>
          </cell>
          <cell r="C233" t="str">
            <v>m²</v>
          </cell>
          <cell r="D233">
            <v>3.66</v>
          </cell>
        </row>
        <row r="234">
          <cell r="A234" t="str">
            <v>PAV-52</v>
          </cell>
          <cell r="B234" t="str">
            <v>TELA SOLDADA MALHA 10X10 CM FIO Ø 4,2 MM</v>
          </cell>
          <cell r="C234" t="str">
            <v>m²</v>
          </cell>
          <cell r="D234">
            <v>13.02</v>
          </cell>
        </row>
        <row r="235">
          <cell r="A235" t="str">
            <v>PAV-53</v>
          </cell>
          <cell r="B235" t="str">
            <v>TELA SOLDADA INFERIOR MALHA 10 X 10 CM FIO Ø 5,6 MM</v>
          </cell>
          <cell r="C235" t="str">
            <v>m²</v>
          </cell>
          <cell r="D235">
            <v>23.09</v>
          </cell>
        </row>
        <row r="236">
          <cell r="A236" t="str">
            <v>PAV-54</v>
          </cell>
          <cell r="B236" t="str">
            <v>JUNTA TRANSVERSAL, INCLUSIVE CORTE, TRELIÇA AÇO CA-25 ø 25mm, CORDÃO DE POLIPROPILENO  E SELANTE</v>
          </cell>
          <cell r="C236" t="str">
            <v>m</v>
          </cell>
          <cell r="D236">
            <v>49.93</v>
          </cell>
        </row>
        <row r="237">
          <cell r="A237" t="str">
            <v>PAV-55</v>
          </cell>
          <cell r="B237" t="str">
            <v>JUNTA TRANSVERSAL, INCLUSIVE CORTE, TRELIÇA AÇO CA-25 ø 32mm, CORDÃO DE POLIPROPILENO  E SELANTE</v>
          </cell>
          <cell r="C237" t="str">
            <v>m</v>
          </cell>
          <cell r="D237">
            <v>83.62</v>
          </cell>
        </row>
        <row r="238">
          <cell r="A238" t="str">
            <v>PAV-56</v>
          </cell>
          <cell r="B238" t="str">
            <v>JUNTA LONGITUDINAL, INCLUSIVE CORTE, AÇO CA-50 ø 10mm, CORDÃO DE POLIPROPILENO E SELANTE</v>
          </cell>
          <cell r="C238" t="str">
            <v>m</v>
          </cell>
          <cell r="D238">
            <v>12.99</v>
          </cell>
        </row>
        <row r="239">
          <cell r="A239" t="str">
            <v>PAV-57</v>
          </cell>
          <cell r="B239" t="str">
            <v>FRESAGEM DO PAVIMENTO COM VARREÇÃO, LAVAGEM E TRANSPORTE</v>
          </cell>
          <cell r="C239" t="str">
            <v>m³</v>
          </cell>
          <cell r="D239">
            <v>113.93</v>
          </cell>
        </row>
        <row r="240">
          <cell r="A240" t="str">
            <v>PAV-58</v>
          </cell>
          <cell r="B240" t="str">
            <v>PLACA DE CONCRETO FCTMK=4,5 MPA COM PAVIMENTADORA</v>
          </cell>
          <cell r="C240" t="str">
            <v>m³</v>
          </cell>
          <cell r="D240">
            <v>340.1</v>
          </cell>
        </row>
        <row r="241">
          <cell r="A241" t="str">
            <v>PAV-59</v>
          </cell>
          <cell r="B241" t="str">
            <v>PLACA DE CONCRETO FCTMK=5,5 MPA COM PAVIMENTADORA</v>
          </cell>
          <cell r="C241" t="str">
            <v>m³</v>
          </cell>
          <cell r="D241">
            <v>393.52</v>
          </cell>
        </row>
        <row r="242">
          <cell r="A242" t="str">
            <v>PAV-60</v>
          </cell>
          <cell r="B242" t="str">
            <v>PLACA DE CONCRETO FCK=30,0 MPA COM RÉGUA VIBRATÓRIA SIMPLES E FORMA METÁLICA</v>
          </cell>
          <cell r="C242" t="str">
            <v>m³</v>
          </cell>
          <cell r="D242">
            <v>361.78</v>
          </cell>
        </row>
        <row r="243">
          <cell r="A243" t="str">
            <v>PAV-61</v>
          </cell>
          <cell r="B243" t="str">
            <v>IMPRIMAÇÃO COM CM-30</v>
          </cell>
          <cell r="C243" t="str">
            <v>m²</v>
          </cell>
          <cell r="D243">
            <v>3.08</v>
          </cell>
        </row>
        <row r="244">
          <cell r="A244" t="str">
            <v>PAV-62</v>
          </cell>
          <cell r="B244" t="str">
            <v>PINTURA DE LIGAÇÃO C/ EMULSÃO RR-2C</v>
          </cell>
          <cell r="C244" t="str">
            <v>m²</v>
          </cell>
          <cell r="D244">
            <v>1.2</v>
          </cell>
        </row>
        <row r="245">
          <cell r="A245" t="str">
            <v>PAV-63</v>
          </cell>
          <cell r="B245" t="str">
            <v>VARREÇÃO E LAVAGEM DA PISTA</v>
          </cell>
          <cell r="C245" t="str">
            <v>m²</v>
          </cell>
          <cell r="D245">
            <v>0.25</v>
          </cell>
        </row>
        <row r="246">
          <cell r="A246" t="str">
            <v>PAV-64</v>
          </cell>
          <cell r="B246" t="str">
            <v>C.B.U.Q. FAIXA "B" POSTO USINA</v>
          </cell>
          <cell r="C246" t="str">
            <v>t</v>
          </cell>
          <cell r="D246">
            <v>144.66999999999999</v>
          </cell>
        </row>
        <row r="247">
          <cell r="A247" t="str">
            <v>PAV-65</v>
          </cell>
          <cell r="B247" t="str">
            <v>C.B.U.Q. FAIXA "C" COM BORRACHA POSTO USINA</v>
          </cell>
          <cell r="C247" t="str">
            <v>t</v>
          </cell>
          <cell r="D247">
            <v>168.92</v>
          </cell>
        </row>
        <row r="248">
          <cell r="A248" t="str">
            <v>PAV-66</v>
          </cell>
          <cell r="B248" t="str">
            <v>REVESTIMENTO COM C.B.U.Q. FAIXA "B"</v>
          </cell>
          <cell r="C248" t="str">
            <v>m³</v>
          </cell>
          <cell r="D248">
            <v>401.28</v>
          </cell>
        </row>
        <row r="249">
          <cell r="A249" t="str">
            <v>PAV-67</v>
          </cell>
          <cell r="B249" t="str">
            <v>REVESTIMENTO COM C.B.U.Q. FAIXA "C" COM BORRACHA</v>
          </cell>
          <cell r="C249" t="str">
            <v>m³</v>
          </cell>
          <cell r="D249">
            <v>461.16</v>
          </cell>
        </row>
        <row r="250">
          <cell r="A250" t="str">
            <v>PAV-68</v>
          </cell>
          <cell r="B250" t="str">
            <v>MICROREVESTIMENTO À FRIO COM POLÍMERO E=15 MM</v>
          </cell>
          <cell r="C250" t="str">
            <v>m²</v>
          </cell>
          <cell r="D250">
            <v>8.64</v>
          </cell>
        </row>
        <row r="251">
          <cell r="A251" t="str">
            <v>PAV-69</v>
          </cell>
          <cell r="B251" t="str">
            <v>CORTE PAVIMENTO ASFÁLTICO COM COMPRESSOR</v>
          </cell>
          <cell r="C251" t="str">
            <v>m³</v>
          </cell>
          <cell r="D251">
            <v>75.650000000000006</v>
          </cell>
        </row>
        <row r="252">
          <cell r="A252" t="str">
            <v>PAV-70</v>
          </cell>
          <cell r="B252" t="str">
            <v>CORTE PAV.ASF./ CONCRETO C/ SERRA DIAMANTADO E=6MM PROF: ATÉ 5CM</v>
          </cell>
          <cell r="C252" t="str">
            <v>m</v>
          </cell>
          <cell r="D252">
            <v>4.04</v>
          </cell>
        </row>
        <row r="253">
          <cell r="A253" t="str">
            <v>PAV-71</v>
          </cell>
          <cell r="B253" t="str">
            <v>JUNTA DE PRÉ-FISSURAÇÃO PARA BGTC, INCLUSIVE CORTE, MANTA GEOTÊXTIL E PINTURA DE LIGAÇÃO</v>
          </cell>
          <cell r="C253" t="str">
            <v>m</v>
          </cell>
          <cell r="D253">
            <v>5.68</v>
          </cell>
        </row>
        <row r="254">
          <cell r="A254" t="str">
            <v>PAV-72</v>
          </cell>
          <cell r="B254" t="str">
            <v>EXECUÇÃO DE BASE DE BRITA GRADUADA TRATADA COM CIMENTO ( BGTC )</v>
          </cell>
          <cell r="C254" t="str">
            <v>m³</v>
          </cell>
          <cell r="D254">
            <v>136.83000000000001</v>
          </cell>
        </row>
        <row r="255">
          <cell r="A255" t="str">
            <v>PAV-73</v>
          </cell>
          <cell r="B255" t="str">
            <v>RECICLAGEM COM CIMENTO, BRITA E INCORP. REVESTIMENTO ASFÁLTICO INFERIOR A 5 CM.</v>
          </cell>
          <cell r="C255" t="str">
            <v>m³</v>
          </cell>
          <cell r="D255">
            <v>119.2</v>
          </cell>
        </row>
        <row r="256">
          <cell r="A256" t="str">
            <v>PAV-74</v>
          </cell>
          <cell r="B256" t="str">
            <v>PINTURA DE LIGAÇÃO COM EMULSÃO RR-1C</v>
          </cell>
          <cell r="C256" t="str">
            <v>m²</v>
          </cell>
          <cell r="D256">
            <v>1.1499999999999999</v>
          </cell>
        </row>
        <row r="257">
          <cell r="A257" t="str">
            <v>SERVIÇOS COMPLEMENTARES</v>
          </cell>
        </row>
        <row r="258">
          <cell r="A258" t="str">
            <v>CÓDIGO</v>
          </cell>
          <cell r="B258" t="str">
            <v>DISCRIMINAÇÃO</v>
          </cell>
          <cell r="C258" t="str">
            <v>UN</v>
          </cell>
        </row>
        <row r="259">
          <cell r="A259" t="str">
            <v>PAI-1</v>
          </cell>
          <cell r="B259" t="str">
            <v>REGULARIZAÇÃO MANUAL DE PASSEIOS</v>
          </cell>
          <cell r="C259" t="str">
            <v>m²</v>
          </cell>
          <cell r="D259">
            <v>1.71</v>
          </cell>
        </row>
        <row r="260">
          <cell r="A260" t="str">
            <v>PAI-2</v>
          </cell>
          <cell r="B260" t="str">
            <v>REGULARIZAÇÃO / COMPACTAÇÃO MANUAL DE PASSEIOS</v>
          </cell>
          <cell r="C260" t="str">
            <v>m²</v>
          </cell>
          <cell r="D260">
            <v>3.42</v>
          </cell>
        </row>
        <row r="261">
          <cell r="A261" t="str">
            <v>PAI-3</v>
          </cell>
          <cell r="B261" t="str">
            <v>FORN/ASSENT. LAJOTA DE CONCRETO 45 X 45 X 5CM C/ LASTRO DE AREIA</v>
          </cell>
          <cell r="C261" t="str">
            <v>m²</v>
          </cell>
          <cell r="D261">
            <v>44.26</v>
          </cell>
        </row>
        <row r="262">
          <cell r="A262" t="str">
            <v>PAI-4</v>
          </cell>
          <cell r="B262" t="str">
            <v>FORN/ASSENT. BLOCOS SEXTAVADOS DE CONCRETO e= 8,0 CM</v>
          </cell>
          <cell r="C262" t="str">
            <v>m²</v>
          </cell>
          <cell r="D262">
            <v>62.25</v>
          </cell>
        </row>
        <row r="263">
          <cell r="A263" t="str">
            <v>PAI-5</v>
          </cell>
          <cell r="B263" t="str">
            <v>FORN/ASSENT. BLOCOS SEXTAVADOS DE CONCRETO e= 10,0 CM</v>
          </cell>
          <cell r="C263" t="str">
            <v>m²</v>
          </cell>
          <cell r="D263">
            <v>75.03</v>
          </cell>
        </row>
        <row r="264">
          <cell r="A264" t="str">
            <v>PAI-6</v>
          </cell>
          <cell r="B264" t="str">
            <v>FORN/ASSENT. LOUSAS DE GRANITO</v>
          </cell>
          <cell r="C264" t="str">
            <v>m²</v>
          </cell>
          <cell r="D264">
            <v>66.09</v>
          </cell>
        </row>
        <row r="265">
          <cell r="A265" t="str">
            <v>PAI-7</v>
          </cell>
          <cell r="B265" t="str">
            <v>FORN/ASSENT. PETIT-PAVET</v>
          </cell>
          <cell r="C265" t="str">
            <v>m²</v>
          </cell>
          <cell r="D265">
            <v>65.150000000000006</v>
          </cell>
        </row>
        <row r="266">
          <cell r="A266" t="str">
            <v>PAI-8</v>
          </cell>
          <cell r="B266" t="str">
            <v>FORN/ASSENT. BLOCOS DE CONCRETO TIPO PAVER E= 6,0 CM COR NATURAL</v>
          </cell>
          <cell r="C266" t="str">
            <v>m²</v>
          </cell>
          <cell r="D266">
            <v>55.1</v>
          </cell>
        </row>
        <row r="267">
          <cell r="A267" t="str">
            <v>PAI-9</v>
          </cell>
          <cell r="B267" t="str">
            <v>FORN/ASSENT. BLOCOS DE CONCRETO TIPO PAVER E= 6,0 CM COR PRETA</v>
          </cell>
          <cell r="C267" t="str">
            <v>m²</v>
          </cell>
          <cell r="D267">
            <v>62.44</v>
          </cell>
        </row>
        <row r="268">
          <cell r="A268" t="str">
            <v>PAI-10</v>
          </cell>
          <cell r="B268" t="str">
            <v>FORN.ASSENT. BLOCOS DE CONCRETO TIPO PAVER E= 8,0 CM COR NATURAL</v>
          </cell>
          <cell r="C268" t="str">
            <v>m²</v>
          </cell>
          <cell r="D268">
            <v>63.28</v>
          </cell>
        </row>
        <row r="269">
          <cell r="A269" t="str">
            <v>PAI-11</v>
          </cell>
          <cell r="B269" t="str">
            <v>FORN/ASSENT. BLOCOS DE CONCRETO TIPO PAVER E= 8,0 CM COR PRETA</v>
          </cell>
          <cell r="C269" t="str">
            <v>m²</v>
          </cell>
          <cell r="D269">
            <v>72.069999999999993</v>
          </cell>
        </row>
        <row r="270">
          <cell r="A270" t="str">
            <v>PAI-12</v>
          </cell>
          <cell r="B270" t="str">
            <v>FORN/ASSENT. DE GUIA PARA PAVER 9 X19 X 39 CM</v>
          </cell>
          <cell r="C270" t="str">
            <v>m</v>
          </cell>
          <cell r="D270">
            <v>23.21</v>
          </cell>
        </row>
        <row r="271">
          <cell r="A271" t="str">
            <v>PAI-13</v>
          </cell>
          <cell r="B271" t="str">
            <v>FORN/PLANTIO DE GRAMA EM LEIVAS C/ TERRA PRETA</v>
          </cell>
          <cell r="C271" t="str">
            <v>m²</v>
          </cell>
          <cell r="D271">
            <v>7.82</v>
          </cell>
        </row>
        <row r="272">
          <cell r="A272" t="str">
            <v>PAI-14</v>
          </cell>
          <cell r="B272" t="str">
            <v>FORN/ESPALHAMENTO DE TERRA PRETA</v>
          </cell>
          <cell r="C272" t="str">
            <v>m³</v>
          </cell>
          <cell r="D272">
            <v>36.979999999999997</v>
          </cell>
        </row>
        <row r="273">
          <cell r="A273" t="str">
            <v>PAI-15</v>
          </cell>
          <cell r="B273" t="str">
            <v>FORN/ASSENT. FINCADINHA DE GRANITO 8 X 15 CM</v>
          </cell>
          <cell r="C273" t="str">
            <v>m</v>
          </cell>
          <cell r="D273">
            <v>27.27</v>
          </cell>
        </row>
        <row r="274">
          <cell r="A274" t="str">
            <v>PAI-16</v>
          </cell>
          <cell r="B274" t="str">
            <v>ARRANCAMENTO DE LAJOTA DE CONCRETO 45 X 45 X 5 CM</v>
          </cell>
          <cell r="C274" t="str">
            <v>m²</v>
          </cell>
          <cell r="D274">
            <v>2.69</v>
          </cell>
        </row>
        <row r="275">
          <cell r="A275" t="str">
            <v>PAI-17</v>
          </cell>
          <cell r="B275" t="str">
            <v>ARRANCAMENTO DE BLOCO SEXTAVADO DE CONCRETO</v>
          </cell>
          <cell r="C275" t="str">
            <v>m²</v>
          </cell>
          <cell r="D275">
            <v>5.38</v>
          </cell>
        </row>
        <row r="276">
          <cell r="A276" t="str">
            <v>PAI-18</v>
          </cell>
          <cell r="B276" t="str">
            <v>ARRANCAMENTO DE LOUSAS DE GRANITO</v>
          </cell>
          <cell r="C276" t="str">
            <v>m²</v>
          </cell>
          <cell r="D276">
            <v>5.38</v>
          </cell>
        </row>
        <row r="277">
          <cell r="A277" t="str">
            <v>PAI-19</v>
          </cell>
          <cell r="B277" t="str">
            <v>ARRANCAMENTO DE PETIT-PAVET</v>
          </cell>
          <cell r="C277" t="str">
            <v>m²</v>
          </cell>
          <cell r="D277">
            <v>5.38</v>
          </cell>
        </row>
        <row r="278">
          <cell r="A278" t="str">
            <v>PAI-20</v>
          </cell>
          <cell r="B278" t="str">
            <v>ARRANCAMENTO DE FINCADINHA DE GRANITO</v>
          </cell>
          <cell r="C278" t="str">
            <v>m</v>
          </cell>
          <cell r="D278">
            <v>2.69</v>
          </cell>
        </row>
        <row r="279">
          <cell r="A279" t="str">
            <v>PAI-21</v>
          </cell>
          <cell r="B279" t="str">
            <v>ARRANCAMENTO DE GRAMA EM LEIVAS</v>
          </cell>
          <cell r="C279" t="str">
            <v>m²</v>
          </cell>
          <cell r="D279">
            <v>1.94</v>
          </cell>
        </row>
        <row r="280">
          <cell r="A280" t="str">
            <v>PAI-22</v>
          </cell>
          <cell r="B280" t="str">
            <v>ARRANCAMENTO DE BLOCOS DE CONCRETO TIPO PAVER</v>
          </cell>
          <cell r="C280" t="str">
            <v>m²</v>
          </cell>
          <cell r="D280">
            <v>5.38</v>
          </cell>
        </row>
        <row r="281">
          <cell r="A281" t="str">
            <v>PAI-23</v>
          </cell>
          <cell r="B281" t="str">
            <v>ARRANC/REASSENT. LAJOTAS DE CONCRETO 45 X 45 X 5 CM</v>
          </cell>
          <cell r="C281" t="str">
            <v>m²</v>
          </cell>
          <cell r="D281">
            <v>24.76</v>
          </cell>
        </row>
        <row r="282">
          <cell r="A282" t="str">
            <v>PAI-24</v>
          </cell>
          <cell r="B282" t="str">
            <v>ARRANC/REASSENT. BLOCOS SEXTAVADOS ESP = 8,0 CM</v>
          </cell>
          <cell r="C282" t="str">
            <v>m²</v>
          </cell>
          <cell r="D282">
            <v>28.66</v>
          </cell>
        </row>
        <row r="283">
          <cell r="A283" t="str">
            <v>PAI-25</v>
          </cell>
          <cell r="B283" t="str">
            <v>ARRANC/REASSENT. BLOCOS SEXTAVADOS ESP = 10,0 CM</v>
          </cell>
          <cell r="C283" t="str">
            <v>m²</v>
          </cell>
          <cell r="D283">
            <v>29.89</v>
          </cell>
        </row>
        <row r="284">
          <cell r="A284" t="str">
            <v>PAI-26</v>
          </cell>
          <cell r="B284" t="str">
            <v>ARRANC/REASSENT. LOUSAS DE GRANITO</v>
          </cell>
          <cell r="C284" t="str">
            <v>m²</v>
          </cell>
          <cell r="D284">
            <v>40.200000000000003</v>
          </cell>
        </row>
        <row r="285">
          <cell r="A285" t="str">
            <v>PAI-27</v>
          </cell>
          <cell r="B285" t="str">
            <v>ARRANC/REASSENT. PETIT-PAVET</v>
          </cell>
          <cell r="C285" t="str">
            <v>m²</v>
          </cell>
          <cell r="D285">
            <v>49.27</v>
          </cell>
        </row>
        <row r="286">
          <cell r="A286" t="str">
            <v>PAI-28</v>
          </cell>
          <cell r="B286" t="str">
            <v>ARRANC/REASSENT. FINCADINHA DE GRANITO</v>
          </cell>
          <cell r="C286" t="str">
            <v>m</v>
          </cell>
          <cell r="D286">
            <v>9.3800000000000008</v>
          </cell>
        </row>
        <row r="287">
          <cell r="A287" t="str">
            <v>PAI-29</v>
          </cell>
          <cell r="B287" t="str">
            <v>ARRANC/REASSENT. DE BLOCOS DE CONCRETO TIPO PAVER</v>
          </cell>
          <cell r="C287" t="str">
            <v>m²</v>
          </cell>
          <cell r="D287">
            <v>25.05</v>
          </cell>
        </row>
        <row r="288">
          <cell r="A288" t="str">
            <v>PAI-30</v>
          </cell>
          <cell r="B288" t="str">
            <v>ARRANC/REASSENT. GRAMA EM LEIVAS C/ TERRA PRETA</v>
          </cell>
          <cell r="C288" t="str">
            <v>m²</v>
          </cell>
          <cell r="D288">
            <v>6.52</v>
          </cell>
        </row>
        <row r="289">
          <cell r="A289" t="str">
            <v>PAI-31</v>
          </cell>
          <cell r="B289" t="str">
            <v>IMPLANTAÇÃO DE RAMPA PARA DEFICIENTE, COM LAJOTA TÁTIL DE ALERTA NAS LATERAIS, INCLUSIVE PINTURA, MEDINDO: 2,20 X 1,20 X 1,80 M.</v>
          </cell>
          <cell r="C289" t="str">
            <v>ud</v>
          </cell>
          <cell r="D289">
            <v>360.67</v>
          </cell>
        </row>
        <row r="290">
          <cell r="A290" t="str">
            <v>PAI-32</v>
          </cell>
          <cell r="B290" t="str">
            <v>ROÇADA COM ROÇADEIRA COSTAL, INCLUSIVE REMOÇÃO DE ENTULHOS</v>
          </cell>
          <cell r="C290" t="str">
            <v>m²</v>
          </cell>
          <cell r="D290">
            <v>0.16</v>
          </cell>
        </row>
        <row r="291">
          <cell r="A291" t="str">
            <v>PAI-33</v>
          </cell>
          <cell r="B291" t="str">
            <v>CORTE DE ÁRVORES Ø ATÉ 0,20 M, INCLUSIVE DESTOCAMENTO E TRANSPORTE</v>
          </cell>
          <cell r="C291" t="str">
            <v>ud</v>
          </cell>
          <cell r="D291">
            <v>37.4</v>
          </cell>
        </row>
        <row r="292">
          <cell r="A292" t="str">
            <v>PAI-34</v>
          </cell>
          <cell r="B292" t="str">
            <v>CORTE DE ÁRVORES Ø 0,20 M ATÉ 0,40 M, INCLUSIVE TRANSPORTE</v>
          </cell>
          <cell r="C292" t="str">
            <v>ud</v>
          </cell>
          <cell r="D292">
            <v>74.81</v>
          </cell>
        </row>
        <row r="293">
          <cell r="A293" t="str">
            <v>PAI-35</v>
          </cell>
          <cell r="B293" t="str">
            <v>CORTE DE ÁRVORES Ø 0,40 M ATÉ 0,60 M, INCLUSIVE TRANSPORTE</v>
          </cell>
          <cell r="C293" t="str">
            <v>ud</v>
          </cell>
          <cell r="D293">
            <v>99.75</v>
          </cell>
        </row>
        <row r="294">
          <cell r="A294" t="str">
            <v>PAI-36</v>
          </cell>
          <cell r="B294" t="str">
            <v>CORTE DE ÁRVORES Ø 0,60 M ATÉ 0,80 M, INCLUSIVE TRANSPORTE</v>
          </cell>
          <cell r="C294" t="str">
            <v>ud</v>
          </cell>
          <cell r="D294">
            <v>195.26</v>
          </cell>
        </row>
        <row r="295">
          <cell r="A295" t="str">
            <v>PAI-37</v>
          </cell>
          <cell r="B295" t="str">
            <v>DESTOCAMENTO DE ÁRVORES Ø 0,20 M ATÉ 0,40 M, INCLUSIVE TRANSPORTE</v>
          </cell>
          <cell r="C295" t="str">
            <v>ud</v>
          </cell>
          <cell r="D295">
            <v>62.06</v>
          </cell>
        </row>
        <row r="296">
          <cell r="A296" t="str">
            <v>PAI-38</v>
          </cell>
          <cell r="B296" t="str">
            <v>DESTOCAMENTO DE ÁRVORES Ø 0,40 M ATÉ 0,60 M, INCLUSIVE TRANSPORTE</v>
          </cell>
          <cell r="C296" t="str">
            <v>ud</v>
          </cell>
          <cell r="D296">
            <v>105.66</v>
          </cell>
        </row>
        <row r="297">
          <cell r="A297" t="str">
            <v>PAI-39</v>
          </cell>
          <cell r="B297" t="str">
            <v>DESTOCAMENTO DE ÁRVORES Ø 0,60 M ATÉ 0,80 M, INCLUSIVE TRANSPORTE</v>
          </cell>
          <cell r="C297" t="str">
            <v>ud</v>
          </cell>
          <cell r="D297">
            <v>140.87</v>
          </cell>
        </row>
        <row r="298">
          <cell r="A298" t="str">
            <v>PAI-40</v>
          </cell>
          <cell r="B298" t="str">
            <v>IMPLANTAÇÃO DE RAMPA PARA DEFICIENTE, COM 03 LAJOTAS TÁTIL DE ALERTA, SEM PINTURA, MEDINDO: 2,20 X 1,20 X 1,80 M.</v>
          </cell>
          <cell r="C298" t="str">
            <v>ud</v>
          </cell>
          <cell r="D298">
            <v>231.72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>
        <row r="1">
          <cell r="B1" t="str">
            <v xml:space="preserve">PREFEITURA MUNICIPAL DE CURITIBA                                                                                                           SECRETARIA MUNICIPAL DE OBRAS PÚBLICAS - SMOP                                                                       </v>
          </cell>
        </row>
        <row r="5">
          <cell r="A5" t="str">
            <v>ILUMINAÇÃO PÚBLICA</v>
          </cell>
        </row>
        <row r="6">
          <cell r="A6" t="str">
            <v>CÓDIGO</v>
          </cell>
          <cell r="B6" t="str">
            <v>DISCRIMINAÇÃO</v>
          </cell>
          <cell r="C6" t="str">
            <v>UN</v>
          </cell>
          <cell r="D6" t="str">
            <v>B.D.I. = 20,31 %          ( R$ )</v>
          </cell>
        </row>
        <row r="7">
          <cell r="A7" t="str">
            <v>ILU-001</v>
          </cell>
          <cell r="B7" t="str">
            <v>ABRAÇADEIRA NYLON NATURAL 390 x 7,6 MM</v>
          </cell>
          <cell r="C7" t="str">
            <v>ud</v>
          </cell>
          <cell r="D7">
            <v>0.89</v>
          </cell>
        </row>
        <row r="8">
          <cell r="A8" t="str">
            <v>ILU-002</v>
          </cell>
          <cell r="B8" t="str">
            <v>ALÇA DE ESTAI 6,4 MM</v>
          </cell>
          <cell r="C8" t="str">
            <v>ud</v>
          </cell>
          <cell r="D8">
            <v>5.63</v>
          </cell>
        </row>
        <row r="9">
          <cell r="A9" t="str">
            <v>ILU-003</v>
          </cell>
          <cell r="B9" t="str">
            <v>ALÇA DE ESTAI 9,5 MM</v>
          </cell>
          <cell r="C9" t="str">
            <v>ud</v>
          </cell>
          <cell r="D9">
            <v>11.03</v>
          </cell>
        </row>
        <row r="10">
          <cell r="A10" t="str">
            <v>ILU-004</v>
          </cell>
          <cell r="B10" t="str">
            <v xml:space="preserve">ALÇA PREF CB AÇO 3/8 HS-SM 9,5MM </v>
          </cell>
          <cell r="C10" t="str">
            <v>ud</v>
          </cell>
          <cell r="D10">
            <v>8.7200000000000006</v>
          </cell>
        </row>
        <row r="11">
          <cell r="A11" t="str">
            <v>ILU-005</v>
          </cell>
          <cell r="B11" t="str">
            <v xml:space="preserve">ALÇA PREF CONT POSTE RETA 1/4 </v>
          </cell>
          <cell r="C11" t="str">
            <v>ud</v>
          </cell>
          <cell r="D11">
            <v>6.64</v>
          </cell>
        </row>
        <row r="12">
          <cell r="A12" t="str">
            <v>ILU-006</v>
          </cell>
          <cell r="B12" t="str">
            <v xml:space="preserve">ALÇA PREF DIST CB CA/CAA 2/0AWG </v>
          </cell>
          <cell r="C12" t="str">
            <v>ud</v>
          </cell>
          <cell r="D12">
            <v>6.64</v>
          </cell>
        </row>
        <row r="13">
          <cell r="A13" t="str">
            <v>ILU-007</v>
          </cell>
          <cell r="B13" t="str">
            <v xml:space="preserve">ALÇA PREF DIST CB CA/CAA 4/0 AWG </v>
          </cell>
          <cell r="C13" t="str">
            <v>ud</v>
          </cell>
          <cell r="D13">
            <v>13.34</v>
          </cell>
        </row>
        <row r="14">
          <cell r="A14" t="str">
            <v>ILU-008</v>
          </cell>
          <cell r="B14" t="str">
            <v xml:space="preserve">ALÇA PREF SERV CB CAA 6 AWG </v>
          </cell>
          <cell r="C14" t="str">
            <v>ud</v>
          </cell>
          <cell r="D14">
            <v>2.73</v>
          </cell>
        </row>
        <row r="15">
          <cell r="A15" t="str">
            <v>ILU-009</v>
          </cell>
          <cell r="B15" t="str">
            <v>ALÇA PREF SERV CB MULT NEUTRO 25MM²</v>
          </cell>
          <cell r="C15" t="str">
            <v>ud</v>
          </cell>
          <cell r="D15">
            <v>2.25</v>
          </cell>
        </row>
        <row r="16">
          <cell r="A16" t="str">
            <v>ILU-010</v>
          </cell>
          <cell r="B16" t="str">
            <v>ALÇA PREF SERV CB MULT NEUTRO 35MM²</v>
          </cell>
          <cell r="C16" t="str">
            <v>ud</v>
          </cell>
          <cell r="D16">
            <v>3.34</v>
          </cell>
        </row>
        <row r="17">
          <cell r="A17" t="str">
            <v>ILU-011</v>
          </cell>
          <cell r="B17" t="str">
            <v xml:space="preserve">ALÇA PREF SERV CB MULT NEUTRO 70MM² </v>
          </cell>
          <cell r="C17" t="str">
            <v>ud</v>
          </cell>
          <cell r="D17">
            <v>4.8</v>
          </cell>
        </row>
        <row r="18">
          <cell r="A18" t="str">
            <v>ILU-012</v>
          </cell>
          <cell r="B18" t="str">
            <v>ALÇA PRÉ-FORMADA CA 336,4 MCM</v>
          </cell>
          <cell r="C18" t="str">
            <v>ud</v>
          </cell>
          <cell r="D18">
            <v>19.07</v>
          </cell>
        </row>
        <row r="19">
          <cell r="A19" t="str">
            <v>ILU-013</v>
          </cell>
          <cell r="B19" t="str">
            <v>ALÇA PRÉ-FORMADA CA-CAA 2 AWG</v>
          </cell>
          <cell r="C19" t="str">
            <v>ud</v>
          </cell>
          <cell r="D19">
            <v>6.05</v>
          </cell>
        </row>
        <row r="20">
          <cell r="A20" t="str">
            <v>ILU-014</v>
          </cell>
          <cell r="B20" t="str">
            <v>ALÇA PRÉ-FORMADA DE SERVIÇO 35 MM²</v>
          </cell>
          <cell r="C20" t="str">
            <v>ud</v>
          </cell>
          <cell r="D20">
            <v>3.66</v>
          </cell>
        </row>
        <row r="21">
          <cell r="A21" t="str">
            <v>ILU-015</v>
          </cell>
          <cell r="B21" t="str">
            <v xml:space="preserve">ALÇA PRÉ-FORMADA DE SERVIÇO 70 MM² </v>
          </cell>
          <cell r="C21" t="str">
            <v>ud</v>
          </cell>
          <cell r="D21">
            <v>7.05</v>
          </cell>
        </row>
        <row r="22">
          <cell r="A22" t="str">
            <v>ILU-016</v>
          </cell>
          <cell r="B22" t="str">
            <v>ALÇA ROLDANA 4 AWG</v>
          </cell>
          <cell r="C22" t="str">
            <v>ud</v>
          </cell>
          <cell r="D22">
            <v>4.09</v>
          </cell>
        </row>
        <row r="23">
          <cell r="A23" t="str">
            <v>ILU-017</v>
          </cell>
          <cell r="B23" t="str">
            <v>ALÇA TOPO CA 2 AWG</v>
          </cell>
          <cell r="C23" t="str">
            <v>ud</v>
          </cell>
          <cell r="D23">
            <v>4.21</v>
          </cell>
        </row>
        <row r="24">
          <cell r="A24" t="str">
            <v>ILU-018</v>
          </cell>
          <cell r="B24" t="str">
            <v>ARMAÇÃO SECUNDÁRIA 01 ESTRIBO</v>
          </cell>
          <cell r="C24" t="str">
            <v>ud</v>
          </cell>
          <cell r="D24">
            <v>18.18</v>
          </cell>
        </row>
        <row r="25">
          <cell r="A25" t="str">
            <v>ILU-019</v>
          </cell>
          <cell r="B25" t="str">
            <v>ARMAÇÃO SECUNDÁRIA 04 ESTRIBOS</v>
          </cell>
          <cell r="C25" t="str">
            <v>ud</v>
          </cell>
          <cell r="D25">
            <v>60.89</v>
          </cell>
        </row>
        <row r="26">
          <cell r="A26" t="str">
            <v>ILU-020</v>
          </cell>
          <cell r="B26" t="str">
            <v xml:space="preserve">ARRUELA ESPAÇADORA </v>
          </cell>
          <cell r="C26" t="str">
            <v>ud</v>
          </cell>
          <cell r="D26">
            <v>21.74</v>
          </cell>
        </row>
        <row r="27">
          <cell r="A27" t="str">
            <v>ILU-021</v>
          </cell>
          <cell r="B27" t="str">
            <v>ARRUELA QUADRADA</v>
          </cell>
          <cell r="C27" t="str">
            <v>ud</v>
          </cell>
          <cell r="D27">
            <v>0.73</v>
          </cell>
        </row>
        <row r="28">
          <cell r="A28" t="str">
            <v>ILU-022</v>
          </cell>
          <cell r="B28" t="str">
            <v>BARRA DE 1,00 M ROSCADA ZINCADA Ø 1/4"</v>
          </cell>
          <cell r="C28" t="str">
            <v>ud</v>
          </cell>
          <cell r="D28">
            <v>5.25</v>
          </cell>
        </row>
        <row r="29">
          <cell r="A29" t="str">
            <v>ILU-023</v>
          </cell>
          <cell r="B29" t="str">
            <v>BARRA DE 1,00 M ROSCADA ZINCADA Ø 3/8"</v>
          </cell>
          <cell r="C29" t="str">
            <v>ud</v>
          </cell>
          <cell r="D29">
            <v>6.45</v>
          </cell>
        </row>
        <row r="30">
          <cell r="A30" t="str">
            <v>ILU-024</v>
          </cell>
          <cell r="B30" t="str">
            <v>BASE PARA RELÉ FOTOCÉLULA</v>
          </cell>
          <cell r="C30" t="str">
            <v>ud</v>
          </cell>
          <cell r="D30">
            <v>10.92</v>
          </cell>
        </row>
        <row r="31">
          <cell r="A31" t="str">
            <v>ILU-025</v>
          </cell>
          <cell r="B31" t="str">
            <v>BRACO ANTI-BALANÇO 15KV ESPAÇADOR</v>
          </cell>
          <cell r="C31" t="str">
            <v>ud</v>
          </cell>
          <cell r="D31">
            <v>53.13</v>
          </cell>
        </row>
        <row r="32">
          <cell r="A32" t="str">
            <v>ILU-026</v>
          </cell>
          <cell r="B32" t="str">
            <v>BRAÇO BR-1 - NTC 813951</v>
          </cell>
          <cell r="C32" t="str">
            <v>ud</v>
          </cell>
          <cell r="D32">
            <v>32.76</v>
          </cell>
        </row>
        <row r="33">
          <cell r="A33" t="str">
            <v>ILU-027</v>
          </cell>
          <cell r="B33" t="str">
            <v>BRAÇO BR-2 - NTC 813952</v>
          </cell>
          <cell r="C33" t="str">
            <v>ud</v>
          </cell>
          <cell r="D33">
            <v>126.59</v>
          </cell>
        </row>
        <row r="34">
          <cell r="A34" t="str">
            <v>ILU-028</v>
          </cell>
          <cell r="B34" t="str">
            <v>BRAÇO BR-3 COM 4M DE COMPRIMENTO, FG À FOGO - NTC 813953</v>
          </cell>
          <cell r="C34" t="str">
            <v>ud</v>
          </cell>
          <cell r="D34">
            <v>230.06</v>
          </cell>
        </row>
        <row r="35">
          <cell r="A35" t="str">
            <v>ILU-029</v>
          </cell>
          <cell r="B35" t="str">
            <v xml:space="preserve">BRAÇO BR-4  GALV.COM 1,80M CURVO, EM CHAPA COM ESPESSURA DE 2MM </v>
          </cell>
          <cell r="C35" t="str">
            <v>ud</v>
          </cell>
          <cell r="D35">
            <v>92.9</v>
          </cell>
        </row>
        <row r="36">
          <cell r="A36" t="str">
            <v>ILU-030</v>
          </cell>
          <cell r="B36" t="str">
            <v>BRAÇO COM GRAMPO DE SUSPENSÃO</v>
          </cell>
          <cell r="C36" t="str">
            <v>ud</v>
          </cell>
          <cell r="D36">
            <v>60.74</v>
          </cell>
        </row>
        <row r="37">
          <cell r="A37" t="str">
            <v>ILU-031</v>
          </cell>
          <cell r="B37" t="str">
            <v xml:space="preserve">BRAÇO TIPO "L" 15 E 35KV (COPEL) </v>
          </cell>
          <cell r="C37" t="str">
            <v>ud</v>
          </cell>
          <cell r="D37">
            <v>95.13</v>
          </cell>
        </row>
        <row r="38">
          <cell r="A38" t="str">
            <v>ILU-032</v>
          </cell>
          <cell r="B38" t="str">
            <v>BRAÇO TIPO L 13.8KV PARA REDE COMPACTA</v>
          </cell>
          <cell r="C38" t="str">
            <v>ud</v>
          </cell>
          <cell r="D38">
            <v>78.89</v>
          </cell>
        </row>
        <row r="39">
          <cell r="A39" t="str">
            <v>ILU-033</v>
          </cell>
          <cell r="B39" t="str">
            <v>CABEÇOTE DE ALUMÍNIO Ø 2"</v>
          </cell>
          <cell r="C39" t="str">
            <v>ud</v>
          </cell>
          <cell r="D39">
            <v>17.37</v>
          </cell>
        </row>
        <row r="40">
          <cell r="A40" t="str">
            <v>ILU-034</v>
          </cell>
          <cell r="B40" t="str">
            <v>CABO DE AL. MULTIPLEXADO AUTO SUST. DUPLEX XLPE 16MM²</v>
          </cell>
          <cell r="C40" t="str">
            <v>m</v>
          </cell>
          <cell r="D40">
            <v>6.41</v>
          </cell>
        </row>
        <row r="41">
          <cell r="A41" t="str">
            <v>ILU-035</v>
          </cell>
          <cell r="B41" t="str">
            <v xml:space="preserve">CABO AL NÚ CA 2/0 AWG </v>
          </cell>
          <cell r="C41" t="str">
            <v>kg</v>
          </cell>
          <cell r="D41">
            <v>43.61</v>
          </cell>
        </row>
        <row r="42">
          <cell r="A42" t="str">
            <v>ILU-036</v>
          </cell>
          <cell r="B42" t="str">
            <v xml:space="preserve">CABO AL NÚ CA 4/0 AWG </v>
          </cell>
          <cell r="C42" t="str">
            <v>kg</v>
          </cell>
          <cell r="D42">
            <v>41.99</v>
          </cell>
        </row>
        <row r="43">
          <cell r="A43" t="str">
            <v>ILU-037</v>
          </cell>
          <cell r="B43" t="str">
            <v xml:space="preserve">CABO AL PROTEGIDO XLPE  35MM² 15KV CZ </v>
          </cell>
          <cell r="C43" t="str">
            <v>m</v>
          </cell>
          <cell r="D43">
            <v>11.86</v>
          </cell>
        </row>
        <row r="44">
          <cell r="A44" t="str">
            <v>ILU-038</v>
          </cell>
          <cell r="B44" t="str">
            <v xml:space="preserve">CABO AL PROTEGIDO XLPE 185MM² 15KV </v>
          </cell>
          <cell r="C44" t="str">
            <v>m</v>
          </cell>
          <cell r="D44">
            <v>32.880000000000003</v>
          </cell>
        </row>
        <row r="45">
          <cell r="A45" t="str">
            <v>ILU-039</v>
          </cell>
          <cell r="B45" t="str">
            <v>CABO DE AL. MULTIPLEXADO AUTO SUST. QUADRUPLEX XLPE 16MM²</v>
          </cell>
          <cell r="C45" t="str">
            <v>m</v>
          </cell>
          <cell r="D45">
            <v>9.5399999999999991</v>
          </cell>
        </row>
        <row r="46">
          <cell r="A46" t="str">
            <v>ILU-040</v>
          </cell>
          <cell r="B46" t="str">
            <v>CABO DE AL. MULTIPLEXADO AUTO SUST. QUADRUPLEX XLPE 25MM²</v>
          </cell>
          <cell r="C46" t="str">
            <v>m</v>
          </cell>
          <cell r="D46">
            <v>11.73</v>
          </cell>
        </row>
        <row r="47">
          <cell r="A47" t="str">
            <v>ILU-041</v>
          </cell>
          <cell r="B47" t="str">
            <v xml:space="preserve">CABO AL SINGELO XLPE - 120MM </v>
          </cell>
          <cell r="C47" t="str">
            <v>m</v>
          </cell>
          <cell r="D47">
            <v>21.1</v>
          </cell>
        </row>
        <row r="48">
          <cell r="A48" t="str">
            <v>ILU-042</v>
          </cell>
          <cell r="B48" t="str">
            <v>CABO DE AL. MULTIPLEXADO AUTO SUST. TRIPLEX XLPE 16MM²</v>
          </cell>
          <cell r="C48" t="str">
            <v>m</v>
          </cell>
          <cell r="D48">
            <v>9.42</v>
          </cell>
        </row>
        <row r="49">
          <cell r="A49" t="str">
            <v>ILU-043</v>
          </cell>
          <cell r="B49" t="str">
            <v>CABO DE AL. MULTIPLEXADO AUTO SUST. TRIPLEX XLPE 35MM²</v>
          </cell>
          <cell r="C49" t="str">
            <v>m</v>
          </cell>
          <cell r="D49">
            <v>12.24</v>
          </cell>
        </row>
        <row r="50">
          <cell r="A50" t="str">
            <v>ILU-044</v>
          </cell>
          <cell r="B50" t="str">
            <v>CABO CA 336,4 MCM</v>
          </cell>
          <cell r="C50" t="str">
            <v>kg</v>
          </cell>
          <cell r="D50">
            <v>18.79</v>
          </cell>
        </row>
        <row r="51">
          <cell r="A51" t="str">
            <v>ILU-045</v>
          </cell>
          <cell r="B51" t="str">
            <v>CABO CAA 4AWG</v>
          </cell>
          <cell r="C51" t="str">
            <v>m</v>
          </cell>
          <cell r="D51">
            <v>4.5</v>
          </cell>
        </row>
        <row r="52">
          <cell r="A52" t="str">
            <v>ILU-046</v>
          </cell>
          <cell r="B52" t="str">
            <v xml:space="preserve">CABO CU XLPE COBERTO 16MM² 15 KV CZ </v>
          </cell>
          <cell r="C52" t="str">
            <v>m</v>
          </cell>
          <cell r="D52">
            <v>18.920000000000002</v>
          </cell>
        </row>
        <row r="53">
          <cell r="A53" t="str">
            <v>ILU-047</v>
          </cell>
          <cell r="B53" t="str">
            <v>CABO DE AL. MULTIPLEXADO AUTO SUST. QUADRUPLEX  XLPE 0,6 / 1 KV 4 AWG</v>
          </cell>
          <cell r="C53" t="str">
            <v>m</v>
          </cell>
          <cell r="D53">
            <v>11.99</v>
          </cell>
        </row>
        <row r="54">
          <cell r="A54" t="str">
            <v>ILU-048</v>
          </cell>
          <cell r="B54" t="str">
            <v>CABO DE AL. MULTIPLEXADO AUTO SUST. TRIPLEX  XLPE 0,6 / 1 KV 4 AWG</v>
          </cell>
          <cell r="C54" t="str">
            <v>m</v>
          </cell>
          <cell r="D54">
            <v>9.7100000000000009</v>
          </cell>
        </row>
        <row r="55">
          <cell r="A55" t="str">
            <v>ILU-049</v>
          </cell>
          <cell r="B55" t="str">
            <v>CABO DE AL. MULTIPLEXADO AUTO SUST. QUADRUPLEX XLPE 0,6/1KV 35MM²</v>
          </cell>
          <cell r="C55" t="str">
            <v>m</v>
          </cell>
          <cell r="D55">
            <v>15.15</v>
          </cell>
        </row>
        <row r="56">
          <cell r="A56" t="str">
            <v>ILU-050</v>
          </cell>
          <cell r="B56" t="str">
            <v>CABO DE AL. MULTIPLEXADO AUTO SUST. QUADRUPLEX XLPE 0,6/1KV 70MM²</v>
          </cell>
          <cell r="C56" t="str">
            <v>m</v>
          </cell>
          <cell r="D56">
            <v>23.42</v>
          </cell>
        </row>
        <row r="57">
          <cell r="A57" t="str">
            <v>ILU-051</v>
          </cell>
          <cell r="B57" t="str">
            <v>CABO DE ALUMÍNIO NÚ 02 AWG</v>
          </cell>
          <cell r="C57" t="str">
            <v>m</v>
          </cell>
          <cell r="D57">
            <v>4.72</v>
          </cell>
        </row>
        <row r="58">
          <cell r="A58" t="str">
            <v>ILU-052</v>
          </cell>
          <cell r="B58" t="str">
            <v>CABO DE COBRE  750 V,  2,5 MM²</v>
          </cell>
          <cell r="C58" t="str">
            <v>m</v>
          </cell>
          <cell r="D58">
            <v>1.65</v>
          </cell>
        </row>
        <row r="59">
          <cell r="A59" t="str">
            <v>ILU-053</v>
          </cell>
          <cell r="B59" t="str">
            <v>CABO DE COBRE COBERTO 16 MM2 15 KV</v>
          </cell>
          <cell r="C59" t="str">
            <v>m</v>
          </cell>
          <cell r="D59">
            <v>17.48</v>
          </cell>
        </row>
        <row r="60">
          <cell r="A60" t="str">
            <v>ILU-054</v>
          </cell>
          <cell r="B60" t="str">
            <v>CABO DE COBRE NÚ 35 MM²</v>
          </cell>
          <cell r="C60" t="str">
            <v>m</v>
          </cell>
          <cell r="D60">
            <v>15.71</v>
          </cell>
        </row>
        <row r="61">
          <cell r="A61" t="str">
            <v>ILU-055</v>
          </cell>
          <cell r="B61" t="str">
            <v>CABO FLEXÍVEL 2 X 2,5 MM²</v>
          </cell>
          <cell r="C61" t="str">
            <v>m</v>
          </cell>
          <cell r="D61">
            <v>3.93</v>
          </cell>
        </row>
        <row r="62">
          <cell r="A62" t="str">
            <v>ILU-056</v>
          </cell>
          <cell r="B62" t="str">
            <v>CABO FLEXÍVEL 2 X 4,0 MM²</v>
          </cell>
          <cell r="C62" t="str">
            <v>m</v>
          </cell>
          <cell r="D62">
            <v>5.69</v>
          </cell>
        </row>
        <row r="63">
          <cell r="A63" t="str">
            <v>ILU-057</v>
          </cell>
          <cell r="B63" t="str">
            <v>CABO FLEXÍVEL 3 X 2,5 MM²</v>
          </cell>
          <cell r="C63" t="str">
            <v>m</v>
          </cell>
          <cell r="D63">
            <v>5.44</v>
          </cell>
        </row>
        <row r="64">
          <cell r="A64" t="str">
            <v>ILU-058</v>
          </cell>
          <cell r="B64" t="str">
            <v xml:space="preserve">CABO UNIFILAR 1 KV   4,0 MM² </v>
          </cell>
          <cell r="C64" t="str">
            <v>m</v>
          </cell>
          <cell r="D64">
            <v>2.66</v>
          </cell>
        </row>
        <row r="65">
          <cell r="A65" t="str">
            <v>ILU-059</v>
          </cell>
          <cell r="B65" t="str">
            <v xml:space="preserve">CABO UNIFILAR 1 KV   6,0 MM² </v>
          </cell>
          <cell r="C65" t="str">
            <v>m</v>
          </cell>
          <cell r="D65">
            <v>3.8</v>
          </cell>
        </row>
        <row r="66">
          <cell r="A66" t="str">
            <v>ILU-060</v>
          </cell>
          <cell r="B66" t="str">
            <v xml:space="preserve">CABO UNIFILAR 1 KV 10,0 MM² </v>
          </cell>
          <cell r="C66" t="str">
            <v>m</v>
          </cell>
          <cell r="D66">
            <v>5.9</v>
          </cell>
        </row>
        <row r="67">
          <cell r="A67" t="str">
            <v>ILU-061</v>
          </cell>
          <cell r="B67" t="str">
            <v>CABO UNIFILAR 1 KV 16,0 MM²</v>
          </cell>
          <cell r="C67" t="str">
            <v>m</v>
          </cell>
          <cell r="D67">
            <v>9.9</v>
          </cell>
        </row>
        <row r="68">
          <cell r="A68" t="str">
            <v>ILU-062</v>
          </cell>
          <cell r="B68" t="str">
            <v xml:space="preserve">CABO UNIFILAR 1 KV 25,0 MM² </v>
          </cell>
          <cell r="C68" t="str">
            <v>m</v>
          </cell>
          <cell r="D68">
            <v>11.95</v>
          </cell>
        </row>
        <row r="69">
          <cell r="A69" t="str">
            <v>ILU-063</v>
          </cell>
          <cell r="B69" t="str">
            <v>CABO UNIFILAR 1 KV 35,0 MM²</v>
          </cell>
          <cell r="C69" t="str">
            <v>m</v>
          </cell>
          <cell r="D69">
            <v>15.71</v>
          </cell>
        </row>
        <row r="70">
          <cell r="A70" t="str">
            <v>ILU-064</v>
          </cell>
          <cell r="B70" t="str">
            <v>CAIXA DE PASSAGEM EM ALUMÍNIO SILÍCIO, ESTANQUE 15X15X10 CM</v>
          </cell>
          <cell r="C70" t="str">
            <v>ud</v>
          </cell>
          <cell r="D70">
            <v>41.88</v>
          </cell>
        </row>
        <row r="71">
          <cell r="A71" t="str">
            <v>ILU-065</v>
          </cell>
          <cell r="B71" t="str">
            <v xml:space="preserve">CAIXA DE PASSAGEM EM CONCRETO PRÉ MOLDADO 0,30 X 0,30 X 0,30 M C/ TAMPA </v>
          </cell>
          <cell r="C71" t="str">
            <v>ud</v>
          </cell>
          <cell r="D71">
            <v>23.06</v>
          </cell>
        </row>
        <row r="72">
          <cell r="A72" t="str">
            <v>ILU-066</v>
          </cell>
          <cell r="B72" t="str">
            <v xml:space="preserve">CAIXA DE PASSAGEM EM CONCRETO PRÉ MOLDADO 0,40 X 0,40 X 0,40 M C/ TAMPA </v>
          </cell>
          <cell r="C72" t="str">
            <v>ud</v>
          </cell>
          <cell r="D72">
            <v>58.82</v>
          </cell>
        </row>
        <row r="73">
          <cell r="A73" t="str">
            <v>ILU-067</v>
          </cell>
          <cell r="B73" t="str">
            <v xml:space="preserve">CAIXA DE PASSAGEM EM CONCRETO PRÉ-MOLDADO 0,60 X 0,60 X 0,60 M C/TAMPA </v>
          </cell>
          <cell r="C73" t="str">
            <v>ud</v>
          </cell>
          <cell r="D73">
            <v>160.75</v>
          </cell>
        </row>
        <row r="74">
          <cell r="A74" t="str">
            <v>ILU-068</v>
          </cell>
          <cell r="B74" t="str">
            <v>CAIXA EM ALUMÍNIO USO EXTERNO, 30 X 30 X 15 CM</v>
          </cell>
          <cell r="C74" t="str">
            <v>ud</v>
          </cell>
          <cell r="D74">
            <v>129.26</v>
          </cell>
        </row>
        <row r="75">
          <cell r="A75" t="str">
            <v>ILU-069</v>
          </cell>
          <cell r="B75" t="str">
            <v>CAPACITOR 250V/100</v>
          </cell>
          <cell r="C75" t="str">
            <v>ud</v>
          </cell>
          <cell r="D75">
            <v>37.83</v>
          </cell>
        </row>
        <row r="76">
          <cell r="A76" t="str">
            <v>ILU-070</v>
          </cell>
          <cell r="B76" t="str">
            <v>CHAPA DE ESTAI</v>
          </cell>
          <cell r="C76" t="str">
            <v>ud</v>
          </cell>
          <cell r="D76">
            <v>11.3</v>
          </cell>
        </row>
        <row r="77">
          <cell r="A77" t="str">
            <v>ILU-071</v>
          </cell>
          <cell r="B77" t="str">
            <v>CHAVE FUSÍVEL 15 KV</v>
          </cell>
          <cell r="C77" t="str">
            <v>ud</v>
          </cell>
          <cell r="D77">
            <v>243.03</v>
          </cell>
        </row>
        <row r="78">
          <cell r="A78" t="str">
            <v>ILU-072</v>
          </cell>
          <cell r="B78" t="str">
            <v xml:space="preserve">CHAVE SECCIONADORA 1X630A 15KV NBI110KV COPEL </v>
          </cell>
          <cell r="C78" t="str">
            <v>ud</v>
          </cell>
          <cell r="D78">
            <v>463.27</v>
          </cell>
        </row>
        <row r="79">
          <cell r="A79" t="str">
            <v>ILU-073</v>
          </cell>
          <cell r="B79" t="str">
            <v>CINTA CIRCULAR, GALVANIZADA A FOGO PADRÃO COPEL DE 160 MM.</v>
          </cell>
          <cell r="C79" t="str">
            <v>ud</v>
          </cell>
          <cell r="D79">
            <v>26.24</v>
          </cell>
        </row>
        <row r="80">
          <cell r="A80" t="str">
            <v>ILU-074</v>
          </cell>
          <cell r="B80" t="str">
            <v>CINTA CIRCULAR, GALVANIZADA A FOGO PADRÃO COPEL DE 170 MM.</v>
          </cell>
          <cell r="C80" t="str">
            <v>ud</v>
          </cell>
          <cell r="D80">
            <v>26.84</v>
          </cell>
        </row>
        <row r="81">
          <cell r="A81" t="str">
            <v>ILU-075</v>
          </cell>
          <cell r="B81" t="str">
            <v>CINTA CIRCULAR, GALVANIZADA A FOGO PADRÃO COPEL DE 180 MM.</v>
          </cell>
          <cell r="C81" t="str">
            <v>ud</v>
          </cell>
          <cell r="D81">
            <v>27.44</v>
          </cell>
        </row>
        <row r="82">
          <cell r="A82" t="str">
            <v>ILU-076</v>
          </cell>
          <cell r="B82" t="str">
            <v>CINTA CIRCULAR, GALVANIZADA A FOGO PADRÃO COPEL DE 190 MM.</v>
          </cell>
          <cell r="C82" t="str">
            <v>ud</v>
          </cell>
          <cell r="D82">
            <v>28.65</v>
          </cell>
        </row>
        <row r="83">
          <cell r="A83" t="str">
            <v>ILU-077</v>
          </cell>
          <cell r="B83" t="str">
            <v>CINTA CIRCULAR, GALVANIZADA A FOGO PADRÃO COPEL DE 200 MM.</v>
          </cell>
          <cell r="C83" t="str">
            <v>ud</v>
          </cell>
          <cell r="D83">
            <v>33.46</v>
          </cell>
        </row>
        <row r="84">
          <cell r="A84" t="str">
            <v>ILU-078</v>
          </cell>
          <cell r="B84" t="str">
            <v>CINTA CIRCULAR, GALVANIZADA A FOGO PADRÃO COPEL DE 220 MM.</v>
          </cell>
          <cell r="C84" t="str">
            <v>ud</v>
          </cell>
          <cell r="D84">
            <v>34.659999999999997</v>
          </cell>
        </row>
        <row r="85">
          <cell r="A85" t="str">
            <v>ILU-079</v>
          </cell>
          <cell r="B85" t="str">
            <v>CINTA CIRCULAR, GALVANIZADA A FOGO PADRÃO COPEL DE 230 MM.</v>
          </cell>
          <cell r="C85" t="str">
            <v>ud</v>
          </cell>
          <cell r="D85">
            <v>35.86</v>
          </cell>
        </row>
        <row r="86">
          <cell r="A86" t="str">
            <v>ILU-080</v>
          </cell>
          <cell r="B86" t="str">
            <v>CINTA QUADRADA P/ POSTE DUPLO T, GALV. A FOGO PADRÃO COPEL 140X65 MM</v>
          </cell>
          <cell r="C86" t="str">
            <v>ud</v>
          </cell>
          <cell r="D86">
            <v>28.44</v>
          </cell>
        </row>
        <row r="87">
          <cell r="A87" t="str">
            <v>ILU-081</v>
          </cell>
          <cell r="B87" t="str">
            <v>CINTA QUADRADA P/ POSTE DUPLO T, GALV. A FOGO PADRÃO COPEL 150X75 MM</v>
          </cell>
          <cell r="C87" t="str">
            <v>ud</v>
          </cell>
          <cell r="D87">
            <v>35.26</v>
          </cell>
        </row>
        <row r="88">
          <cell r="A88" t="str">
            <v>ILU-082</v>
          </cell>
          <cell r="B88" t="str">
            <v>CINTA QUADRADA P/ POSTE DUPLO T, GALV. A FOGO PADRÃO COPEL 210X115 MM</v>
          </cell>
          <cell r="C88" t="str">
            <v>ud</v>
          </cell>
          <cell r="D88">
            <v>44.05</v>
          </cell>
        </row>
        <row r="89">
          <cell r="A89" t="str">
            <v>ILU-083</v>
          </cell>
          <cell r="B89" t="str">
            <v>CINTA QUADRADA P/ POSTE DUPLO T, GALV. A FOGO PADRÃO COPEL 315X200 MM</v>
          </cell>
          <cell r="C89" t="str">
            <v>ud</v>
          </cell>
          <cell r="D89">
            <v>55.79</v>
          </cell>
        </row>
        <row r="90">
          <cell r="A90" t="str">
            <v>ILU-084</v>
          </cell>
          <cell r="B90" t="str">
            <v>CONDUTOR DE COBRE 35,0 MM², COM ISOLAMENTO PLÁSTICO PARA 450/750V</v>
          </cell>
          <cell r="C90" t="str">
            <v>m</v>
          </cell>
          <cell r="D90">
            <v>15.71</v>
          </cell>
        </row>
        <row r="91">
          <cell r="A91" t="str">
            <v>ILU-085</v>
          </cell>
          <cell r="B91" t="str">
            <v>CONDUTOR DE COBRE 10,0 MM², COM ISOLAMENTO PLÁSTICO PARA 0,6/1KV</v>
          </cell>
          <cell r="C91" t="str">
            <v>m</v>
          </cell>
          <cell r="D91">
            <v>5.77</v>
          </cell>
        </row>
        <row r="92">
          <cell r="A92" t="str">
            <v>ILU-086</v>
          </cell>
          <cell r="B92" t="str">
            <v>CONDUTOR DE COBRE 16,0 MM², COM ISOLAMENTO PLÁSTICO PARA 0,6/1KV</v>
          </cell>
          <cell r="C92" t="str">
            <v>m</v>
          </cell>
          <cell r="D92">
            <v>9.66</v>
          </cell>
        </row>
        <row r="93">
          <cell r="A93" t="str">
            <v>ILU-087</v>
          </cell>
          <cell r="B93" t="str">
            <v>CONDUTOR DE COBRE 25,0 MM², COM ISOLAMENTO PLÁSTICO PARA 0,6/1KV</v>
          </cell>
          <cell r="C93" t="str">
            <v>m</v>
          </cell>
          <cell r="D93">
            <v>11.95</v>
          </cell>
        </row>
        <row r="94">
          <cell r="A94" t="str">
            <v>ILU-088</v>
          </cell>
          <cell r="B94" t="str">
            <v>CONDUTOR DE COBRE 35,0 MM², COM ISOLAMENTO PLÁSTICO PARA 0,6/1KV</v>
          </cell>
          <cell r="C94" t="str">
            <v>m</v>
          </cell>
          <cell r="D94">
            <v>15.71</v>
          </cell>
        </row>
        <row r="95">
          <cell r="A95" t="str">
            <v>ILU-089</v>
          </cell>
          <cell r="B95" t="str">
            <v>CONDUTOR DE COBRE 50,0 MM², COM ISOLAMENTO PLÁSTICO PARA 0,6/1KV</v>
          </cell>
          <cell r="C95" t="str">
            <v>m</v>
          </cell>
          <cell r="D95">
            <v>24.63</v>
          </cell>
        </row>
        <row r="96">
          <cell r="A96" t="str">
            <v>ILU-090</v>
          </cell>
          <cell r="B96" t="str">
            <v>CONDUTOR DE COBRE 70,0 MM², COM ISOLAMENTO PLÁSTICO PARA 0,6/1KV</v>
          </cell>
          <cell r="C96" t="str">
            <v>m</v>
          </cell>
          <cell r="D96">
            <v>29.54</v>
          </cell>
        </row>
        <row r="97">
          <cell r="A97" t="str">
            <v>ILU-091</v>
          </cell>
          <cell r="B97" t="str">
            <v>CONDUTOR DE COBRE 3 X 2,5 MM², COM ISOLAMENTO PLÁSTICO PARA 0,6/1KV</v>
          </cell>
          <cell r="C97" t="str">
            <v>m</v>
          </cell>
          <cell r="D97">
            <v>7</v>
          </cell>
        </row>
        <row r="98">
          <cell r="A98" t="str">
            <v>ILU-092</v>
          </cell>
          <cell r="B98" t="str">
            <v>CONDUTOR DE COBRE 3 X 4,0 MM², COM ISOLAMENTO PLÁSTICO PARA 0,6/1KV</v>
          </cell>
          <cell r="C98" t="str">
            <v>m</v>
          </cell>
          <cell r="D98">
            <v>9.44</v>
          </cell>
        </row>
        <row r="99">
          <cell r="A99" t="str">
            <v>ILU-093</v>
          </cell>
          <cell r="B99" t="str">
            <v>CONDUTOR DE COBRE 5 X 4,0 MM², COM ISOLAMENTO PLÁSTICO PARA 0,6/1KV</v>
          </cell>
          <cell r="C99" t="str">
            <v>m</v>
          </cell>
          <cell r="D99">
            <v>16.12</v>
          </cell>
        </row>
        <row r="100">
          <cell r="A100" t="str">
            <v>ILU-094</v>
          </cell>
          <cell r="B100" t="str">
            <v xml:space="preserve">CONEC CUNHA AL VERMELHO </v>
          </cell>
          <cell r="C100" t="str">
            <v>ud</v>
          </cell>
          <cell r="D100">
            <v>8.9</v>
          </cell>
        </row>
        <row r="101">
          <cell r="A101" t="str">
            <v>ILU-095</v>
          </cell>
          <cell r="B101" t="str">
            <v>CONEC CUNHA ATERR HASTE 1/2"/ FIO</v>
          </cell>
          <cell r="C101" t="str">
            <v>ud</v>
          </cell>
          <cell r="D101">
            <v>14.24</v>
          </cell>
        </row>
        <row r="102">
          <cell r="A102" t="str">
            <v>ILU-096</v>
          </cell>
          <cell r="B102" t="str">
            <v>CONEC PIERCY PERF P10-70 D1,5-10MM²</v>
          </cell>
          <cell r="C102" t="str">
            <v>ud</v>
          </cell>
          <cell r="D102">
            <v>9.5299999999999994</v>
          </cell>
        </row>
        <row r="103">
          <cell r="A103" t="str">
            <v>ILU-097</v>
          </cell>
          <cell r="B103" t="str">
            <v>CONEC PIERCY PERF P16-120 D4-35MM²</v>
          </cell>
          <cell r="C103" t="str">
            <v>ud</v>
          </cell>
          <cell r="D103">
            <v>12.48</v>
          </cell>
        </row>
        <row r="104">
          <cell r="A104" t="str">
            <v>ILU-098</v>
          </cell>
          <cell r="B104" t="str">
            <v>CONEC PIERCY PERF P25-120D25-120-3</v>
          </cell>
          <cell r="C104" t="str">
            <v>ud</v>
          </cell>
          <cell r="D104">
            <v>12.95</v>
          </cell>
        </row>
        <row r="105">
          <cell r="A105" t="str">
            <v>ILU-099</v>
          </cell>
          <cell r="B105" t="str">
            <v>CONECTOR CUNHA 20CA-CAA/20CA-CAA E 40CA</v>
          </cell>
          <cell r="C105" t="str">
            <v>ud</v>
          </cell>
          <cell r="D105">
            <v>13.46</v>
          </cell>
        </row>
        <row r="106">
          <cell r="A106" t="str">
            <v>ILU-100</v>
          </cell>
          <cell r="B106" t="str">
            <v>CONECTOR CUNHA 336x336 MCM COMPACTA</v>
          </cell>
          <cell r="C106" t="str">
            <v>ud</v>
          </cell>
          <cell r="D106">
            <v>101.63</v>
          </cell>
        </row>
        <row r="107">
          <cell r="A107" t="str">
            <v>ILU-101</v>
          </cell>
          <cell r="B107" t="str">
            <v>CONECTOR CUNHA 336x336 CA</v>
          </cell>
          <cell r="C107" t="str">
            <v>ud</v>
          </cell>
          <cell r="D107">
            <v>16.61</v>
          </cell>
        </row>
        <row r="108">
          <cell r="A108" t="str">
            <v>ILU-102</v>
          </cell>
          <cell r="B108" t="str">
            <v>CONECTOR CUNHA 2X02AWG COMPACTA</v>
          </cell>
          <cell r="C108" t="str">
            <v>ud</v>
          </cell>
          <cell r="D108">
            <v>62.13</v>
          </cell>
        </row>
        <row r="109">
          <cell r="A109" t="str">
            <v>ILU-103</v>
          </cell>
          <cell r="B109" t="str">
            <v>CONECTOR CUNHA 2OCA / 25MM² - 4AWG</v>
          </cell>
          <cell r="C109" t="str">
            <v>ud</v>
          </cell>
          <cell r="D109">
            <v>14.06</v>
          </cell>
        </row>
        <row r="110">
          <cell r="A110" t="str">
            <v>ILU-104</v>
          </cell>
          <cell r="B110" t="str">
            <v>CONECTOR CUNHA 20CA-CAA/2CA  E 9,5 MM</v>
          </cell>
          <cell r="C110" t="str">
            <v>ud</v>
          </cell>
          <cell r="D110">
            <v>13.46</v>
          </cell>
        </row>
        <row r="111">
          <cell r="A111" t="str">
            <v>ILU-105</v>
          </cell>
          <cell r="B111" t="str">
            <v>CONECTOR CUNHA 40CA-40CAA/40CA</v>
          </cell>
          <cell r="C111" t="str">
            <v>ud</v>
          </cell>
          <cell r="D111">
            <v>14.06</v>
          </cell>
        </row>
        <row r="112">
          <cell r="A112" t="str">
            <v>ILU-106</v>
          </cell>
          <cell r="B112" t="str">
            <v>CONECTOR CUNHA 2CA/4CAA-4CACA</v>
          </cell>
          <cell r="C112" t="str">
            <v>ud</v>
          </cell>
          <cell r="D112">
            <v>10.5</v>
          </cell>
        </row>
        <row r="113">
          <cell r="A113" t="str">
            <v>ILU-107</v>
          </cell>
          <cell r="B113" t="str">
            <v>CONECTOR CUNHA 2CA-25MM/ 2CA E 9MM/ 6,4MM</v>
          </cell>
          <cell r="C113" t="str">
            <v>ud</v>
          </cell>
          <cell r="D113">
            <v>10.29</v>
          </cell>
        </row>
        <row r="114">
          <cell r="A114" t="str">
            <v>ILU-108</v>
          </cell>
          <cell r="B114" t="str">
            <v>CONECTOR CUNHA 2CA-35MM/2CA E 9,5 MM</v>
          </cell>
          <cell r="C114" t="str">
            <v>ud</v>
          </cell>
          <cell r="D114">
            <v>10.29</v>
          </cell>
        </row>
        <row r="115">
          <cell r="A115" t="str">
            <v>ILU-109</v>
          </cell>
          <cell r="B115" t="str">
            <v>CONECTOR CUNHA 336CA-CAA/2CA-CAA</v>
          </cell>
          <cell r="C115" t="str">
            <v>ud</v>
          </cell>
          <cell r="D115">
            <v>18.98</v>
          </cell>
        </row>
        <row r="116">
          <cell r="A116" t="str">
            <v>ILU-110</v>
          </cell>
          <cell r="B116" t="str">
            <v>CONECTOR TERMINAL COMP. CA350/336MCM 2F</v>
          </cell>
          <cell r="C116" t="str">
            <v>ud</v>
          </cell>
          <cell r="D116">
            <v>52.07</v>
          </cell>
        </row>
        <row r="117">
          <cell r="A117" t="str">
            <v>ILU-111</v>
          </cell>
          <cell r="B117" t="str">
            <v>CONECTOR CUNHA 35MM CU/ 35MM CU</v>
          </cell>
          <cell r="C117" t="str">
            <v>ud</v>
          </cell>
          <cell r="D117">
            <v>38.6</v>
          </cell>
        </row>
        <row r="118">
          <cell r="A118" t="str">
            <v>ILU-112</v>
          </cell>
          <cell r="B118" t="str">
            <v>CONECTOR CUNHA RAMAL 40CA/25MM²-4AWG</v>
          </cell>
          <cell r="C118" t="str">
            <v>ud</v>
          </cell>
          <cell r="D118">
            <v>7.35</v>
          </cell>
        </row>
        <row r="119">
          <cell r="A119" t="str">
            <v>ILU-113</v>
          </cell>
          <cell r="B119" t="str">
            <v>CONECTOR CUNHA RAMAL 20CA/16MM²-6AWG</v>
          </cell>
          <cell r="C119" t="str">
            <v>ud</v>
          </cell>
          <cell r="D119">
            <v>14.06</v>
          </cell>
        </row>
        <row r="120">
          <cell r="A120" t="str">
            <v>ILU-114</v>
          </cell>
          <cell r="B120" t="str">
            <v>CONECTOR CUNHA RAMAL 40CA/16MM²-6AWG</v>
          </cell>
          <cell r="C120" t="str">
            <v>ud</v>
          </cell>
          <cell r="D120">
            <v>14.06</v>
          </cell>
        </row>
        <row r="121">
          <cell r="A121" t="str">
            <v>ILU-115</v>
          </cell>
          <cell r="B121" t="str">
            <v>CONECTOR CUNHA RAMAL 40CA/50MM²-10AWG</v>
          </cell>
          <cell r="C121" t="str">
            <v>ud</v>
          </cell>
          <cell r="D121">
            <v>13.86</v>
          </cell>
        </row>
        <row r="122">
          <cell r="A122" t="str">
            <v>ILU-116</v>
          </cell>
          <cell r="B122" t="str">
            <v>CONECTOR CUNHA RAMAL 40CA/70MM²-20AWG</v>
          </cell>
          <cell r="C122" t="str">
            <v>ud</v>
          </cell>
          <cell r="D122">
            <v>14.06</v>
          </cell>
        </row>
        <row r="123">
          <cell r="A123" t="str">
            <v>ILU-117</v>
          </cell>
          <cell r="B123" t="str">
            <v>CONECTOR CUNHA TIPO  I IP E RAMAL</v>
          </cell>
          <cell r="C123" t="str">
            <v>ud</v>
          </cell>
          <cell r="D123">
            <v>8.4600000000000009</v>
          </cell>
        </row>
        <row r="124">
          <cell r="A124" t="str">
            <v>ILU-118</v>
          </cell>
          <cell r="B124" t="str">
            <v>CONECTOR CUNHA TIPO  II IP E RAMAL</v>
          </cell>
          <cell r="C124" t="str">
            <v>ud</v>
          </cell>
          <cell r="D124">
            <v>7.35</v>
          </cell>
        </row>
        <row r="125">
          <cell r="A125" t="str">
            <v>ILU-119</v>
          </cell>
          <cell r="B125" t="str">
            <v>CONECTOR CUNHA TIPO A IP E RAMAL</v>
          </cell>
          <cell r="C125" t="str">
            <v>ud</v>
          </cell>
          <cell r="D125">
            <v>10.9</v>
          </cell>
        </row>
        <row r="126">
          <cell r="A126" t="str">
            <v>ILU-120</v>
          </cell>
          <cell r="B126" t="str">
            <v>CONECTOR CUNHA TIPO L IP E RAMAL</v>
          </cell>
          <cell r="C126" t="str">
            <v>ud</v>
          </cell>
          <cell r="D126">
            <v>9.4600000000000009</v>
          </cell>
        </row>
        <row r="127">
          <cell r="A127" t="str">
            <v>ILU-121</v>
          </cell>
          <cell r="B127" t="str">
            <v>CONECTOR CUNHA TIPO C IP E RAMAL</v>
          </cell>
          <cell r="C127" t="str">
            <v>ud</v>
          </cell>
          <cell r="D127">
            <v>11.5</v>
          </cell>
        </row>
        <row r="128">
          <cell r="A128" t="str">
            <v>ILU-122</v>
          </cell>
          <cell r="B128" t="str">
            <v>CONECTOR CUNHA TIPO D IP E RAMAL</v>
          </cell>
          <cell r="C128" t="str">
            <v>ud</v>
          </cell>
          <cell r="D128">
            <v>10.11</v>
          </cell>
        </row>
        <row r="129">
          <cell r="A129" t="str">
            <v>ILU-123</v>
          </cell>
          <cell r="B129" t="str">
            <v>CONECTOR CUNHA TIPO III IP E RAMAL</v>
          </cell>
          <cell r="C129" t="str">
            <v>ud</v>
          </cell>
          <cell r="D129">
            <v>8.2799999999999994</v>
          </cell>
        </row>
        <row r="130">
          <cell r="A130" t="str">
            <v>ILU-124</v>
          </cell>
          <cell r="B130" t="str">
            <v>CONECTOR CUNHA TIPO VII IP E RAMAL</v>
          </cell>
          <cell r="C130" t="str">
            <v>ud</v>
          </cell>
          <cell r="D130">
            <v>10.14</v>
          </cell>
        </row>
        <row r="131">
          <cell r="A131" t="str">
            <v>ILU-125</v>
          </cell>
          <cell r="B131" t="str">
            <v>CONECTOR CUNHA TIPO VIII IP E RAMAL</v>
          </cell>
          <cell r="C131" t="str">
            <v>ud</v>
          </cell>
          <cell r="D131">
            <v>9.5299999999999994</v>
          </cell>
        </row>
        <row r="132">
          <cell r="A132" t="str">
            <v>ILU-126</v>
          </cell>
          <cell r="B132" t="str">
            <v xml:space="preserve">CONECTOR CUNHA VERMELHO/AZUL </v>
          </cell>
          <cell r="C132" t="str">
            <v>ud</v>
          </cell>
          <cell r="D132">
            <v>9.7200000000000006</v>
          </cell>
        </row>
        <row r="133">
          <cell r="A133" t="str">
            <v>ILU-127</v>
          </cell>
          <cell r="B133" t="str">
            <v>CONECTOR DE COBRE 16 MM2 1 FURO</v>
          </cell>
          <cell r="C133" t="str">
            <v>ud</v>
          </cell>
          <cell r="D133">
            <v>15.68</v>
          </cell>
        </row>
        <row r="134">
          <cell r="A134" t="str">
            <v>ILU-128</v>
          </cell>
          <cell r="B134" t="str">
            <v>CONECTOR DER. LV COBRE 25 A 95MM2</v>
          </cell>
          <cell r="C134" t="str">
            <v>ud</v>
          </cell>
          <cell r="D134">
            <v>43.24</v>
          </cell>
        </row>
        <row r="135">
          <cell r="A135" t="str">
            <v>ILU-129</v>
          </cell>
          <cell r="B135" t="str">
            <v>CONECTOR ESTRIBO CUNHA 2 CA-CAA</v>
          </cell>
          <cell r="C135" t="str">
            <v>ud</v>
          </cell>
          <cell r="D135">
            <v>18.98</v>
          </cell>
        </row>
        <row r="136">
          <cell r="A136" t="str">
            <v>ILU-130</v>
          </cell>
          <cell r="B136" t="str">
            <v>CONECTOR PERFURANTE   35X35 (RABICHO)</v>
          </cell>
          <cell r="C136" t="str">
            <v>ud</v>
          </cell>
          <cell r="D136">
            <v>8.19</v>
          </cell>
        </row>
        <row r="137">
          <cell r="A137" t="str">
            <v>ILU-131</v>
          </cell>
          <cell r="B137" t="str">
            <v>CONECTOR PERFURANTE   70X35 (RABICHO)</v>
          </cell>
          <cell r="C137" t="str">
            <v>ud</v>
          </cell>
          <cell r="D137">
            <v>15.92</v>
          </cell>
        </row>
        <row r="138">
          <cell r="A138" t="str">
            <v>ILU-132</v>
          </cell>
          <cell r="B138" t="str">
            <v>CONECTOR PERFURANTE 120X35 (RABICHO)</v>
          </cell>
          <cell r="C138" t="str">
            <v>ud</v>
          </cell>
          <cell r="D138">
            <v>19.600000000000001</v>
          </cell>
        </row>
        <row r="139">
          <cell r="A139" t="str">
            <v>ILU-133</v>
          </cell>
          <cell r="B139" t="str">
            <v>CONECTOR PERFURANTE 6MM</v>
          </cell>
          <cell r="C139" t="str">
            <v>ud</v>
          </cell>
          <cell r="D139">
            <v>9.66</v>
          </cell>
        </row>
        <row r="140">
          <cell r="A140" t="str">
            <v>ILU-134</v>
          </cell>
          <cell r="B140" t="str">
            <v>CONECTOR SPLIT - BOLT 5/8 "</v>
          </cell>
          <cell r="C140" t="str">
            <v>ud</v>
          </cell>
          <cell r="D140">
            <v>5.68</v>
          </cell>
        </row>
        <row r="141">
          <cell r="A141" t="str">
            <v>ILU-135</v>
          </cell>
          <cell r="B141" t="str">
            <v>CONECTOR TAPIT (PARALELO) DE PARAFUSO 1/0</v>
          </cell>
          <cell r="C141" t="str">
            <v>ud</v>
          </cell>
          <cell r="D141">
            <v>5.85</v>
          </cell>
        </row>
        <row r="142">
          <cell r="A142" t="str">
            <v>ILU-136</v>
          </cell>
          <cell r="B142" t="str">
            <v>CONECTOR TAPIT (PARALELO) DE PARAFUSO 2/0</v>
          </cell>
          <cell r="C142" t="str">
            <v>ud</v>
          </cell>
          <cell r="D142">
            <v>7.83</v>
          </cell>
        </row>
        <row r="143">
          <cell r="A143" t="str">
            <v>ILU-137</v>
          </cell>
          <cell r="B143" t="str">
            <v>CONECTOR TERM. COMP. CA CAA 2AWG 1 FURO</v>
          </cell>
          <cell r="C143" t="str">
            <v>ud</v>
          </cell>
          <cell r="D143">
            <v>15.99</v>
          </cell>
        </row>
        <row r="144">
          <cell r="A144" t="str">
            <v>ILU-138</v>
          </cell>
          <cell r="B144" t="str">
            <v>CONECTOR TERM. COMP. COBRE 16MM2 1 FURO</v>
          </cell>
          <cell r="C144" t="str">
            <v>ud</v>
          </cell>
          <cell r="D144">
            <v>17.309999999999999</v>
          </cell>
        </row>
        <row r="145">
          <cell r="A145" t="str">
            <v>ILU-139</v>
          </cell>
          <cell r="B145" t="str">
            <v>CONECTOR TERMINAL 4/0 2 FUROS</v>
          </cell>
          <cell r="C145" t="str">
            <v>ud</v>
          </cell>
          <cell r="D145">
            <v>34.4</v>
          </cell>
        </row>
        <row r="146">
          <cell r="A146" t="str">
            <v>ILU-140</v>
          </cell>
          <cell r="B146" t="str">
            <v>CONECTOR TERMINAL ADAPTADOR 5 FUROS</v>
          </cell>
          <cell r="C146" t="str">
            <v>ud</v>
          </cell>
          <cell r="D146">
            <v>54.97</v>
          </cell>
        </row>
        <row r="147">
          <cell r="A147" t="str">
            <v>ILU-141</v>
          </cell>
          <cell r="B147" t="str">
            <v xml:space="preserve">CORDOALHA ACO SM 3/8 7FIOS </v>
          </cell>
          <cell r="C147" t="str">
            <v>m</v>
          </cell>
          <cell r="D147">
            <v>6.45</v>
          </cell>
        </row>
        <row r="148">
          <cell r="A148" t="str">
            <v>ILU-142</v>
          </cell>
          <cell r="B148" t="str">
            <v>CORDOALHA DE AÇO SM 6,4 MM</v>
          </cell>
          <cell r="C148" t="str">
            <v>m</v>
          </cell>
          <cell r="D148">
            <v>4.66</v>
          </cell>
        </row>
        <row r="149">
          <cell r="A149" t="str">
            <v>ILU-143</v>
          </cell>
          <cell r="B149" t="str">
            <v>CRUZETA DE CONCRETO  150 DAN</v>
          </cell>
          <cell r="C149" t="str">
            <v>ud</v>
          </cell>
          <cell r="D149">
            <v>67.430000000000007</v>
          </cell>
        </row>
        <row r="150">
          <cell r="A150" t="str">
            <v>ILU-144</v>
          </cell>
          <cell r="B150" t="str">
            <v>CRUZETA DE CONCRETO  250 DAN</v>
          </cell>
          <cell r="C150" t="str">
            <v>ud</v>
          </cell>
          <cell r="D150">
            <v>91.89</v>
          </cell>
        </row>
        <row r="151">
          <cell r="A151" t="str">
            <v>ILU-145</v>
          </cell>
          <cell r="B151" t="str">
            <v xml:space="preserve">CURVA FG Ø 2" X  90º </v>
          </cell>
          <cell r="C151" t="str">
            <v>ud</v>
          </cell>
          <cell r="D151">
            <v>18.37</v>
          </cell>
        </row>
        <row r="152">
          <cell r="A152" t="str">
            <v>ILU-146</v>
          </cell>
          <cell r="B152" t="str">
            <v xml:space="preserve">ELETRODUTO CORRUGADO EM PEAD Ø 1.1/4"                        </v>
          </cell>
          <cell r="C152" t="str">
            <v>m</v>
          </cell>
          <cell r="D152">
            <v>13.47</v>
          </cell>
        </row>
        <row r="153">
          <cell r="A153" t="str">
            <v>ILU-147</v>
          </cell>
          <cell r="B153" t="str">
            <v xml:space="preserve">ELETRODUTO CORRUGADO EM PEAD Ø 2"                        </v>
          </cell>
          <cell r="C153" t="str">
            <v>m</v>
          </cell>
          <cell r="D153">
            <v>15.75</v>
          </cell>
        </row>
        <row r="154">
          <cell r="A154" t="str">
            <v>ILU-148</v>
          </cell>
          <cell r="B154" t="str">
            <v xml:space="preserve">ELETRODUTO CORRUGADO EM PEAD Ø 3"                        </v>
          </cell>
          <cell r="C154" t="str">
            <v>m</v>
          </cell>
          <cell r="D154">
            <v>20.46</v>
          </cell>
        </row>
        <row r="155">
          <cell r="A155" t="str">
            <v>ILU-149</v>
          </cell>
          <cell r="B155" t="str">
            <v xml:space="preserve">ELETRODUTO CORRUGADO EM PEAD Ø 4"                        </v>
          </cell>
          <cell r="C155" t="str">
            <v>m</v>
          </cell>
          <cell r="D155">
            <v>28.35</v>
          </cell>
        </row>
        <row r="156">
          <cell r="A156" t="str">
            <v>ILU-150</v>
          </cell>
          <cell r="B156" t="str">
            <v xml:space="preserve">ELETRODUTO CORRUGADO EM PEAD Ø 6"                        </v>
          </cell>
          <cell r="C156" t="str">
            <v>m</v>
          </cell>
          <cell r="D156">
            <v>62.33</v>
          </cell>
        </row>
        <row r="157">
          <cell r="A157" t="str">
            <v>ILU-151</v>
          </cell>
          <cell r="B157" t="str">
            <v>ELETRODUTO DE FG À FOGO DIN 2440, 2", COM 3,00 M</v>
          </cell>
          <cell r="C157" t="str">
            <v>br</v>
          </cell>
          <cell r="D157">
            <v>84.61</v>
          </cell>
        </row>
        <row r="158">
          <cell r="A158" t="str">
            <v>ILU-152</v>
          </cell>
          <cell r="B158" t="str">
            <v>ELETRODUTO FERRO ZINCADO 1"X 3,00 M</v>
          </cell>
          <cell r="C158" t="str">
            <v>br</v>
          </cell>
          <cell r="D158">
            <v>46.11</v>
          </cell>
        </row>
        <row r="159">
          <cell r="A159" t="str">
            <v>ILU-153</v>
          </cell>
          <cell r="B159" t="str">
            <v>ELO FUSIVEL 3A TIPO H</v>
          </cell>
          <cell r="C159" t="str">
            <v>ud</v>
          </cell>
          <cell r="D159">
            <v>4.32</v>
          </cell>
        </row>
        <row r="160">
          <cell r="A160" t="str">
            <v>ILU-154</v>
          </cell>
          <cell r="B160" t="str">
            <v xml:space="preserve">ESPACADOR CRUZ AEREO 15KV </v>
          </cell>
          <cell r="C160" t="str">
            <v>ud</v>
          </cell>
          <cell r="D160">
            <v>277.88</v>
          </cell>
        </row>
        <row r="161">
          <cell r="A161" t="str">
            <v>ILU-155</v>
          </cell>
          <cell r="B161" t="str">
            <v>ESPANCADOR RD 15KV COM ANEL</v>
          </cell>
          <cell r="C161" t="str">
            <v>ud</v>
          </cell>
          <cell r="D161">
            <v>23.66</v>
          </cell>
        </row>
        <row r="162">
          <cell r="A162" t="str">
            <v>ILU-156</v>
          </cell>
          <cell r="B162" t="str">
            <v>ESTRIBO CONECTOR DERIV. CUNHA AL 336CA</v>
          </cell>
          <cell r="C162" t="str">
            <v>ud</v>
          </cell>
          <cell r="D162">
            <v>17.63</v>
          </cell>
        </row>
        <row r="163">
          <cell r="A163" t="str">
            <v>ILU-157</v>
          </cell>
          <cell r="B163" t="str">
            <v xml:space="preserve">ESTRIBO P/ ESPACADOR LOSANGULAR (COPEL) </v>
          </cell>
          <cell r="C163" t="str">
            <v>ud</v>
          </cell>
          <cell r="D163">
            <v>15.95</v>
          </cell>
        </row>
        <row r="164">
          <cell r="A164" t="str">
            <v>ILU-158</v>
          </cell>
          <cell r="B164" t="str">
            <v>FECHO PARA FITA INOX 3/4</v>
          </cell>
          <cell r="C164" t="str">
            <v>ud</v>
          </cell>
          <cell r="D164">
            <v>2.2400000000000002</v>
          </cell>
        </row>
        <row r="165">
          <cell r="A165" t="str">
            <v>ILU-159</v>
          </cell>
          <cell r="B165" t="str">
            <v xml:space="preserve">FIO AL COBERTO XLPE AMARRAÇÃO 4 AWG </v>
          </cell>
          <cell r="C165" t="str">
            <v>m</v>
          </cell>
          <cell r="D165">
            <v>9.25</v>
          </cell>
        </row>
        <row r="166">
          <cell r="A166" t="str">
            <v>ILU-160</v>
          </cell>
          <cell r="B166" t="str">
            <v>FIO DE AÇO COBREADO 16 MM2</v>
          </cell>
          <cell r="C166" t="str">
            <v>kg</v>
          </cell>
          <cell r="D166">
            <v>50.4</v>
          </cell>
        </row>
        <row r="167">
          <cell r="A167" t="str">
            <v>ILU-161</v>
          </cell>
          <cell r="B167" t="str">
            <v>FITA DE AÇO INOX FUSIMEC 3/4 X 0,7 MM</v>
          </cell>
          <cell r="C167" t="str">
            <v>m</v>
          </cell>
          <cell r="D167">
            <v>4.76</v>
          </cell>
        </row>
        <row r="168">
          <cell r="A168" t="str">
            <v>ILU-162</v>
          </cell>
          <cell r="B168" t="str">
            <v>FITA ISOLANTE AMARELA 18MM X 20M</v>
          </cell>
          <cell r="C168" t="str">
            <v>ud</v>
          </cell>
          <cell r="D168">
            <v>14.85</v>
          </cell>
        </row>
        <row r="169">
          <cell r="A169" t="str">
            <v>ILU-163</v>
          </cell>
          <cell r="B169" t="str">
            <v>FITA ISOLANTE AZUL 18MM X 20M</v>
          </cell>
          <cell r="C169" t="str">
            <v>ud</v>
          </cell>
          <cell r="D169">
            <v>14.85</v>
          </cell>
        </row>
        <row r="170">
          <cell r="A170" t="str">
            <v>ILU-164</v>
          </cell>
          <cell r="B170" t="str">
            <v>FITA ISOLANTE BRANCA 18MM X 20M</v>
          </cell>
          <cell r="C170" t="str">
            <v>ud</v>
          </cell>
          <cell r="D170">
            <v>14.85</v>
          </cell>
        </row>
        <row r="171">
          <cell r="A171" t="str">
            <v>ILU-165</v>
          </cell>
          <cell r="B171" t="str">
            <v>FITA ISOLANTE VERMELHA 18MM X 20M</v>
          </cell>
          <cell r="C171" t="str">
            <v>ud</v>
          </cell>
          <cell r="D171">
            <v>14.85</v>
          </cell>
        </row>
        <row r="172">
          <cell r="A172" t="str">
            <v>ILU-166</v>
          </cell>
          <cell r="B172" t="str">
            <v>FITA ISOLANTE AUTOFUSÃO 19MM X 10 M</v>
          </cell>
          <cell r="C172" t="str">
            <v>ud</v>
          </cell>
          <cell r="D172">
            <v>24</v>
          </cell>
        </row>
        <row r="173">
          <cell r="A173" t="str">
            <v>ILU-167</v>
          </cell>
          <cell r="B173" t="str">
            <v>FITA ISOLANTE PLÁSTICA 19MM X 20 M</v>
          </cell>
          <cell r="C173" t="str">
            <v>ud</v>
          </cell>
          <cell r="D173">
            <v>14.85</v>
          </cell>
        </row>
        <row r="174">
          <cell r="A174" t="str">
            <v>ILU-168</v>
          </cell>
          <cell r="B174" t="str">
            <v xml:space="preserve">FIXADOR DE PERFIL "U" 176MM (COPEL) </v>
          </cell>
          <cell r="C174" t="str">
            <v>ud</v>
          </cell>
          <cell r="D174">
            <v>35.58</v>
          </cell>
        </row>
        <row r="175">
          <cell r="A175" t="str">
            <v>ILU-169</v>
          </cell>
          <cell r="B175" t="str">
            <v>FUZÍVEL N.H. TIPO 1 100 A</v>
          </cell>
          <cell r="C175" t="str">
            <v>ud</v>
          </cell>
          <cell r="D175">
            <v>17.71</v>
          </cell>
        </row>
        <row r="176">
          <cell r="A176" t="str">
            <v>ILU-170</v>
          </cell>
          <cell r="B176" t="str">
            <v>FUZÍVEL N.H. TIPO 1 63 A</v>
          </cell>
          <cell r="C176" t="str">
            <v>ud</v>
          </cell>
          <cell r="D176">
            <v>17.71</v>
          </cell>
        </row>
        <row r="177">
          <cell r="A177" t="str">
            <v>ILU-171</v>
          </cell>
          <cell r="B177" t="str">
            <v>FUZÍVEL N.H. TIPO 2 300 A</v>
          </cell>
          <cell r="C177" t="str">
            <v>ud</v>
          </cell>
          <cell r="D177">
            <v>50.63</v>
          </cell>
        </row>
        <row r="178">
          <cell r="A178" t="str">
            <v>ILU-172</v>
          </cell>
          <cell r="B178" t="str">
            <v>FUZÍVEL N.H. TIPO 2 400 A</v>
          </cell>
          <cell r="C178" t="str">
            <v>ud</v>
          </cell>
          <cell r="D178">
            <v>50.63</v>
          </cell>
        </row>
        <row r="179">
          <cell r="A179" t="str">
            <v>ILU-173</v>
          </cell>
          <cell r="B179" t="str">
            <v>FUZÍVEL N.H. TIPO 2 630 A</v>
          </cell>
          <cell r="C179" t="str">
            <v>ud</v>
          </cell>
          <cell r="D179">
            <v>64.290000000000006</v>
          </cell>
        </row>
        <row r="180">
          <cell r="A180" t="str">
            <v>ILU-174</v>
          </cell>
          <cell r="B180" t="str">
            <v xml:space="preserve">GANCHO OLHAL </v>
          </cell>
          <cell r="C180" t="str">
            <v>ud</v>
          </cell>
          <cell r="D180">
            <v>10.95</v>
          </cell>
        </row>
        <row r="181">
          <cell r="A181" t="str">
            <v>ILU-175</v>
          </cell>
          <cell r="B181" t="str">
            <v>GRAMPO ANC DIE CB COB 13,0 A 16</v>
          </cell>
          <cell r="C181" t="str">
            <v>ud</v>
          </cell>
          <cell r="D181">
            <v>37.42</v>
          </cell>
        </row>
        <row r="182">
          <cell r="A182" t="str">
            <v>ILU-176</v>
          </cell>
          <cell r="B182" t="str">
            <v>GRAMPO ANC DIE CB COB 22,01 A 25</v>
          </cell>
          <cell r="C182" t="str">
            <v>ud</v>
          </cell>
          <cell r="D182">
            <v>41.72</v>
          </cell>
        </row>
        <row r="183">
          <cell r="A183" t="str">
            <v>ILU-177</v>
          </cell>
          <cell r="B183" t="str">
            <v>GRAMPO DE LINHA VIVA</v>
          </cell>
          <cell r="C183" t="str">
            <v>ud</v>
          </cell>
          <cell r="D183">
            <v>49.64</v>
          </cell>
        </row>
        <row r="184">
          <cell r="A184" t="str">
            <v>ILU-178</v>
          </cell>
          <cell r="B184" t="str">
            <v>HASTE DE ATERRAMENTO AÇO-COBRE 2,4 M</v>
          </cell>
          <cell r="C184" t="str">
            <v>ud</v>
          </cell>
          <cell r="D184">
            <v>44.74</v>
          </cell>
        </row>
        <row r="185">
          <cell r="A185" t="str">
            <v>ILU-179</v>
          </cell>
          <cell r="B185" t="str">
            <v>IGNITOR S-53</v>
          </cell>
          <cell r="C185" t="str">
            <v>ud</v>
          </cell>
          <cell r="D185">
            <v>25.79</v>
          </cell>
        </row>
        <row r="186">
          <cell r="A186" t="str">
            <v>ILU-180</v>
          </cell>
          <cell r="B186" t="str">
            <v>ISOLADOR PINO POLIMÉRICO 15KV C/ANEL</v>
          </cell>
          <cell r="C186" t="str">
            <v>ud</v>
          </cell>
          <cell r="D186">
            <v>38.32</v>
          </cell>
        </row>
        <row r="187">
          <cell r="A187" t="str">
            <v>ILU-181</v>
          </cell>
          <cell r="B187" t="str">
            <v xml:space="preserve">ISOLADOR POLIMÉRICO 15KV </v>
          </cell>
          <cell r="C187" t="str">
            <v>ud</v>
          </cell>
          <cell r="D187">
            <v>66.66</v>
          </cell>
        </row>
        <row r="188">
          <cell r="A188" t="str">
            <v>ILU-182</v>
          </cell>
          <cell r="B188" t="str">
            <v xml:space="preserve">ISOLAD PORCELANA BASTÃO 15KV </v>
          </cell>
          <cell r="C188" t="str">
            <v>ud</v>
          </cell>
          <cell r="D188">
            <v>118</v>
          </cell>
        </row>
        <row r="189">
          <cell r="A189" t="str">
            <v>ILU-183</v>
          </cell>
          <cell r="B189" t="str">
            <v>ISOLADOR ÂNCORA 13,8KV BASTÃO PORCELANA</v>
          </cell>
          <cell r="C189" t="str">
            <v>ud</v>
          </cell>
          <cell r="D189">
            <v>61.97</v>
          </cell>
        </row>
        <row r="190">
          <cell r="A190" t="str">
            <v>ILU-184</v>
          </cell>
          <cell r="B190" t="str">
            <v>ISOLADOR DE ROLDANA</v>
          </cell>
          <cell r="C190" t="str">
            <v>ud</v>
          </cell>
          <cell r="D190">
            <v>3.21</v>
          </cell>
        </row>
        <row r="191">
          <cell r="A191" t="str">
            <v>ILU-185</v>
          </cell>
          <cell r="B191" t="str">
            <v xml:space="preserve">ISOLADOR TIPO  PILAR 15 KV </v>
          </cell>
          <cell r="C191" t="str">
            <v>ud</v>
          </cell>
          <cell r="D191">
            <v>60.24</v>
          </cell>
        </row>
        <row r="192">
          <cell r="A192" t="str">
            <v>ILU-186</v>
          </cell>
          <cell r="B192" t="str">
            <v>LAÇO PRÉ-FORMADO LATERAL CABO AL CA/CAA 2AWG</v>
          </cell>
          <cell r="C192" t="str">
            <v>ud</v>
          </cell>
          <cell r="D192">
            <v>4.2</v>
          </cell>
        </row>
        <row r="193">
          <cell r="A193" t="str">
            <v>ILU-187</v>
          </cell>
          <cell r="B193" t="str">
            <v>LAÇO PRÉ-FORMADO ROLDANA CABO AL CA 2/0AWG</v>
          </cell>
          <cell r="C193" t="str">
            <v>ud</v>
          </cell>
          <cell r="D193">
            <v>6.17</v>
          </cell>
        </row>
        <row r="194">
          <cell r="A194" t="str">
            <v>ILU-188</v>
          </cell>
          <cell r="B194" t="str">
            <v>LAÇO PRÉ-FORMADO ROLDANA CABO AL CA 4/0AWG</v>
          </cell>
          <cell r="C194" t="str">
            <v>ud</v>
          </cell>
          <cell r="D194">
            <v>6.77</v>
          </cell>
        </row>
        <row r="195">
          <cell r="A195" t="str">
            <v>ILU-189</v>
          </cell>
          <cell r="B195" t="str">
            <v>LAÇO PRÉ-FORMADO TOPO CB AL CA 336,4MCM</v>
          </cell>
          <cell r="C195" t="str">
            <v>ud</v>
          </cell>
          <cell r="D195">
            <v>7.78</v>
          </cell>
        </row>
        <row r="196">
          <cell r="A196" t="str">
            <v>ILU-190</v>
          </cell>
          <cell r="B196" t="str">
            <v>LAÇO PRÉ-FORMADO DE ROLDANA CA2 AWG</v>
          </cell>
          <cell r="C196" t="str">
            <v>ud</v>
          </cell>
          <cell r="D196">
            <v>4.49</v>
          </cell>
        </row>
        <row r="197">
          <cell r="A197" t="str">
            <v>ILU-191</v>
          </cell>
          <cell r="B197" t="str">
            <v>LAÇO PRÉ-FORMADO DE TOPO 336 MCM</v>
          </cell>
          <cell r="C197" t="str">
            <v>ud</v>
          </cell>
          <cell r="D197">
            <v>9.19</v>
          </cell>
        </row>
        <row r="198">
          <cell r="A198" t="str">
            <v>ILU-192</v>
          </cell>
          <cell r="B198" t="str">
            <v>LAÇO PRÉ-FORMADO DE TOPO 35 MM2</v>
          </cell>
          <cell r="C198" t="str">
            <v>ud</v>
          </cell>
          <cell r="D198">
            <v>4.45</v>
          </cell>
        </row>
        <row r="199">
          <cell r="A199" t="str">
            <v>ILU-193</v>
          </cell>
          <cell r="B199" t="str">
            <v>LAÇO PRÉ-FORMADO DE TOPO CA 2/0 AWG</v>
          </cell>
          <cell r="C199" t="str">
            <v>ud</v>
          </cell>
          <cell r="D199">
            <v>6.68</v>
          </cell>
        </row>
        <row r="200">
          <cell r="A200" t="str">
            <v>ILU-194</v>
          </cell>
          <cell r="B200" t="str">
            <v>LAÇO ROLDANA 2 AWG</v>
          </cell>
          <cell r="C200" t="str">
            <v>ud</v>
          </cell>
          <cell r="D200">
            <v>4.09</v>
          </cell>
        </row>
        <row r="201">
          <cell r="A201" t="str">
            <v>ILU-195</v>
          </cell>
          <cell r="B201" t="str">
            <v>LAÇO ROLDANA 4 AWG</v>
          </cell>
          <cell r="C201" t="str">
            <v>ud</v>
          </cell>
          <cell r="D201">
            <v>3.97</v>
          </cell>
        </row>
        <row r="202">
          <cell r="A202" t="str">
            <v>ILU-196</v>
          </cell>
          <cell r="B202" t="str">
            <v>LAÇO SIMPLES LATERAL CA 336,4 MCM</v>
          </cell>
          <cell r="C202" t="str">
            <v>ud</v>
          </cell>
          <cell r="D202">
            <v>8.9600000000000009</v>
          </cell>
        </row>
        <row r="203">
          <cell r="A203" t="str">
            <v>ILU-197</v>
          </cell>
          <cell r="B203" t="str">
            <v>LAÇO SIMPLES LATERAL CAA 4AWG</v>
          </cell>
          <cell r="C203" t="str">
            <v>ud</v>
          </cell>
          <cell r="D203">
            <v>4.25</v>
          </cell>
        </row>
        <row r="204">
          <cell r="A204" t="str">
            <v>ILU-198</v>
          </cell>
          <cell r="B204" t="str">
            <v>LAÇO TOPO 3 X2.25MM</v>
          </cell>
          <cell r="C204" t="str">
            <v>ud</v>
          </cell>
          <cell r="D204">
            <v>5.69</v>
          </cell>
        </row>
        <row r="205">
          <cell r="A205" t="str">
            <v>ILU-199</v>
          </cell>
          <cell r="B205" t="str">
            <v>LAÇO TOPO CA 2 AWG</v>
          </cell>
          <cell r="C205" t="str">
            <v>ud</v>
          </cell>
          <cell r="D205">
            <v>4.8099999999999996</v>
          </cell>
        </row>
        <row r="206">
          <cell r="A206" t="str">
            <v>ILU-200</v>
          </cell>
          <cell r="B206" t="str">
            <v>LAÇO TOPO CAA 4AWG</v>
          </cell>
          <cell r="C206" t="str">
            <v>ud</v>
          </cell>
          <cell r="D206">
            <v>4.13</v>
          </cell>
        </row>
        <row r="207">
          <cell r="A207" t="str">
            <v>ILU-201</v>
          </cell>
          <cell r="B207" t="str">
            <v>LUVA DE REDUÇÃO FG 3" X 2"</v>
          </cell>
          <cell r="C207" t="str">
            <v>ud</v>
          </cell>
          <cell r="D207">
            <v>29.08</v>
          </cell>
        </row>
        <row r="208">
          <cell r="A208" t="str">
            <v>ILU-202</v>
          </cell>
          <cell r="B208" t="str">
            <v>LUVA EMENDA CA 2 AWG</v>
          </cell>
          <cell r="C208" t="str">
            <v>ud</v>
          </cell>
          <cell r="D208">
            <v>5.09</v>
          </cell>
        </row>
        <row r="209">
          <cell r="A209" t="str">
            <v>ILU-203</v>
          </cell>
          <cell r="B209" t="str">
            <v>LUVA EMENDA CA 336,4 MCM</v>
          </cell>
          <cell r="C209" t="str">
            <v>ud</v>
          </cell>
          <cell r="D209">
            <v>22.06</v>
          </cell>
        </row>
        <row r="210">
          <cell r="A210" t="str">
            <v>ILU-204</v>
          </cell>
          <cell r="B210" t="str">
            <v>LUVA EMENDA CAA 4AWG</v>
          </cell>
          <cell r="C210" t="str">
            <v>ud</v>
          </cell>
          <cell r="D210">
            <v>12.67</v>
          </cell>
        </row>
        <row r="211">
          <cell r="A211" t="str">
            <v>ILU-205</v>
          </cell>
          <cell r="B211" t="str">
            <v>LUVA EMENDA COMP CB AL CA 2/0AWG</v>
          </cell>
          <cell r="C211" t="str">
            <v>ud</v>
          </cell>
          <cell r="D211">
            <v>12.95</v>
          </cell>
        </row>
        <row r="212">
          <cell r="A212" t="str">
            <v>ILU-206</v>
          </cell>
          <cell r="B212" t="str">
            <v>LUVA EMENDA COMP CB AL CA 4/0AWG</v>
          </cell>
          <cell r="C212" t="str">
            <v>ud</v>
          </cell>
          <cell r="D212">
            <v>18.309999999999999</v>
          </cell>
        </row>
        <row r="213">
          <cell r="A213" t="str">
            <v>ILU-207</v>
          </cell>
          <cell r="B213" t="str">
            <v>MANILHA SAPATILHA</v>
          </cell>
          <cell r="C213" t="str">
            <v>ud</v>
          </cell>
          <cell r="D213">
            <v>11.59</v>
          </cell>
        </row>
        <row r="214">
          <cell r="A214" t="str">
            <v>ILU-208</v>
          </cell>
          <cell r="B214" t="str">
            <v>MÃO FRANCESA PLANA 1053 MM</v>
          </cell>
          <cell r="C214" t="str">
            <v>ud</v>
          </cell>
          <cell r="D214">
            <v>26.65</v>
          </cell>
        </row>
        <row r="215">
          <cell r="A215" t="str">
            <v>ILU-209</v>
          </cell>
          <cell r="B215" t="str">
            <v>MÃO FRANCESA PLANA 619 MM</v>
          </cell>
          <cell r="C215" t="str">
            <v>ud</v>
          </cell>
          <cell r="D215">
            <v>13.84</v>
          </cell>
        </row>
        <row r="216">
          <cell r="A216" t="str">
            <v>ILU-210</v>
          </cell>
          <cell r="B216" t="str">
            <v>PARAFUSO FRANCÊS 45 MM</v>
          </cell>
          <cell r="C216" t="str">
            <v>ud</v>
          </cell>
          <cell r="D216">
            <v>3.13</v>
          </cell>
        </row>
        <row r="217">
          <cell r="A217" t="str">
            <v>ILU-211</v>
          </cell>
          <cell r="B217" t="str">
            <v>PARAFUSO FRANCÊS 70 MM</v>
          </cell>
          <cell r="C217" t="str">
            <v>ud</v>
          </cell>
          <cell r="D217">
            <v>3.91</v>
          </cell>
        </row>
        <row r="218">
          <cell r="A218" t="str">
            <v>ILU-212</v>
          </cell>
          <cell r="B218" t="str">
            <v xml:space="preserve">PARAFUSO MÁQUINA M-16 X 60 MM </v>
          </cell>
          <cell r="C218" t="str">
            <v>ud</v>
          </cell>
          <cell r="D218">
            <v>3.44</v>
          </cell>
        </row>
        <row r="219">
          <cell r="A219" t="str">
            <v>ILU-213</v>
          </cell>
          <cell r="B219" t="str">
            <v>PARAFUSO MÁQUINA M-16X125 MM</v>
          </cell>
          <cell r="C219" t="str">
            <v>ud</v>
          </cell>
          <cell r="D219">
            <v>4.99</v>
          </cell>
        </row>
        <row r="220">
          <cell r="A220" t="str">
            <v>ILU-214</v>
          </cell>
          <cell r="B220" t="str">
            <v>PARAFUSO MÁQUINA M-16X150 MM</v>
          </cell>
          <cell r="C220" t="str">
            <v>ud</v>
          </cell>
          <cell r="D220">
            <v>5.4</v>
          </cell>
        </row>
        <row r="221">
          <cell r="A221" t="str">
            <v>ILU-215</v>
          </cell>
          <cell r="B221" t="str">
            <v>PARAFUSO MÁQUINA M-16X200 MM</v>
          </cell>
          <cell r="C221" t="str">
            <v>ud</v>
          </cell>
          <cell r="D221">
            <v>5.97</v>
          </cell>
        </row>
        <row r="222">
          <cell r="A222" t="str">
            <v>ILU-216</v>
          </cell>
          <cell r="B222" t="str">
            <v>PARAFUSO MÁQUINA M-16X250 MM</v>
          </cell>
          <cell r="C222" t="str">
            <v>ud</v>
          </cell>
          <cell r="D222">
            <v>6.42</v>
          </cell>
        </row>
        <row r="223">
          <cell r="A223" t="str">
            <v>ILU-217</v>
          </cell>
          <cell r="B223" t="str">
            <v>PARAFUSO MÁQUINA M-16X300 MM</v>
          </cell>
          <cell r="C223" t="str">
            <v>ud</v>
          </cell>
          <cell r="D223">
            <v>7.9</v>
          </cell>
        </row>
        <row r="224">
          <cell r="A224" t="str">
            <v>ILU-218</v>
          </cell>
          <cell r="B224" t="str">
            <v xml:space="preserve">PARAFUSO MÁQUINA M-16X350 MM </v>
          </cell>
          <cell r="C224" t="str">
            <v>ud</v>
          </cell>
          <cell r="D224">
            <v>7.84</v>
          </cell>
        </row>
        <row r="225">
          <cell r="A225" t="str">
            <v>ILU-219</v>
          </cell>
          <cell r="B225" t="str">
            <v xml:space="preserve">PARAFUSO MÁQUINA M-16X400 MM </v>
          </cell>
          <cell r="C225" t="str">
            <v>ud</v>
          </cell>
          <cell r="D225">
            <v>8.66</v>
          </cell>
        </row>
        <row r="226">
          <cell r="A226" t="str">
            <v>ILU-220</v>
          </cell>
          <cell r="B226" t="str">
            <v xml:space="preserve">PARAFUSO MÁQUINA M-16X450 MM </v>
          </cell>
          <cell r="C226" t="str">
            <v>ud</v>
          </cell>
          <cell r="D226">
            <v>9.65</v>
          </cell>
        </row>
        <row r="227">
          <cell r="A227" t="str">
            <v>ILU-221</v>
          </cell>
          <cell r="B227" t="str">
            <v xml:space="preserve">PARAFUSO MÁQUINA M-16X500 MM </v>
          </cell>
          <cell r="C227" t="str">
            <v>ud</v>
          </cell>
          <cell r="D227">
            <v>10.17</v>
          </cell>
        </row>
        <row r="228">
          <cell r="A228" t="str">
            <v>ILU-222</v>
          </cell>
          <cell r="B228" t="str">
            <v>PARAFUSO R.DUPLA M-16X150 MM</v>
          </cell>
          <cell r="C228" t="str">
            <v>ud</v>
          </cell>
          <cell r="D228">
            <v>6.74</v>
          </cell>
        </row>
        <row r="229">
          <cell r="A229" t="str">
            <v>ILU-223</v>
          </cell>
          <cell r="B229" t="str">
            <v xml:space="preserve">PARAFUSO R.DUPLA M-16X200 MM </v>
          </cell>
          <cell r="C229" t="str">
            <v>ud</v>
          </cell>
          <cell r="D229">
            <v>7.34</v>
          </cell>
        </row>
        <row r="230">
          <cell r="A230" t="str">
            <v>ILU-224</v>
          </cell>
          <cell r="B230" t="str">
            <v xml:space="preserve">PARAFUSO R.DUPLA M-16X250 MM  </v>
          </cell>
          <cell r="C230" t="str">
            <v>ud</v>
          </cell>
          <cell r="D230">
            <v>8.14</v>
          </cell>
        </row>
        <row r="231">
          <cell r="A231" t="str">
            <v>ILU-225</v>
          </cell>
          <cell r="B231" t="str">
            <v xml:space="preserve">PARAFUSO R.DUPLA M-16X300 MM  </v>
          </cell>
          <cell r="C231" t="str">
            <v>ud</v>
          </cell>
          <cell r="D231">
            <v>9.11</v>
          </cell>
        </row>
        <row r="232">
          <cell r="A232" t="str">
            <v>ILU-226</v>
          </cell>
          <cell r="B232" t="str">
            <v xml:space="preserve">PARAFUSO R.DUPLA M-16X350 MM  </v>
          </cell>
          <cell r="C232" t="str">
            <v>ud</v>
          </cell>
          <cell r="D232">
            <v>10.210000000000001</v>
          </cell>
        </row>
        <row r="233">
          <cell r="A233" t="str">
            <v>ILU-227</v>
          </cell>
          <cell r="B233" t="str">
            <v xml:space="preserve">PARAFUSO R.DUPLA M-16X400 MM  </v>
          </cell>
          <cell r="C233" t="str">
            <v>ud</v>
          </cell>
          <cell r="D233">
            <v>10.95</v>
          </cell>
        </row>
        <row r="234">
          <cell r="A234" t="str">
            <v>ILU-228</v>
          </cell>
          <cell r="B234" t="str">
            <v>PARAFUSO R.DUPLA M-16X450 MM</v>
          </cell>
          <cell r="C234" t="str">
            <v>ud</v>
          </cell>
          <cell r="D234">
            <v>10.98</v>
          </cell>
        </row>
        <row r="235">
          <cell r="A235" t="str">
            <v>ILU-229</v>
          </cell>
          <cell r="B235" t="str">
            <v xml:space="preserve">PARAFUSO R.DUPLA M-16X500 MM </v>
          </cell>
          <cell r="C235" t="str">
            <v>ud</v>
          </cell>
          <cell r="D235">
            <v>11.86</v>
          </cell>
        </row>
        <row r="236">
          <cell r="A236" t="str">
            <v>ILU-230</v>
          </cell>
          <cell r="B236" t="str">
            <v>PARAFUSO R.DUPLA M-16X550 MM</v>
          </cell>
          <cell r="C236" t="str">
            <v>ud</v>
          </cell>
          <cell r="D236">
            <v>13.4</v>
          </cell>
        </row>
        <row r="237">
          <cell r="A237" t="str">
            <v>ILU-231</v>
          </cell>
          <cell r="B237" t="str">
            <v>PÁRA-RAIOS 15 KV</v>
          </cell>
          <cell r="C237" t="str">
            <v>ud</v>
          </cell>
          <cell r="D237">
            <v>189.73</v>
          </cell>
        </row>
        <row r="238">
          <cell r="A238" t="str">
            <v>ILU-232</v>
          </cell>
          <cell r="B238" t="str">
            <v xml:space="preserve">PERFIL "U" REDE COMPACTA </v>
          </cell>
          <cell r="C238" t="str">
            <v>ud</v>
          </cell>
          <cell r="D238">
            <v>87.28</v>
          </cell>
        </row>
        <row r="239">
          <cell r="A239" t="str">
            <v>ILU-233</v>
          </cell>
          <cell r="B239" t="str">
            <v>PINO AUTO-TRAVANTE 140 MM</v>
          </cell>
          <cell r="C239" t="str">
            <v>ud</v>
          </cell>
          <cell r="D239">
            <v>10.06</v>
          </cell>
        </row>
        <row r="240">
          <cell r="A240" t="str">
            <v>ILU-234</v>
          </cell>
          <cell r="B240" t="str">
            <v xml:space="preserve">PINO ISOL. M-16X140MM </v>
          </cell>
          <cell r="C240" t="str">
            <v>ud</v>
          </cell>
          <cell r="D240">
            <v>23.63</v>
          </cell>
        </row>
        <row r="241">
          <cell r="A241" t="str">
            <v>ILU-235</v>
          </cell>
          <cell r="B241" t="str">
            <v>PLACA DE CONCRETO 1000 MM</v>
          </cell>
          <cell r="C241" t="str">
            <v>ud</v>
          </cell>
          <cell r="D241">
            <v>56.14</v>
          </cell>
        </row>
        <row r="242">
          <cell r="A242" t="str">
            <v>ILU-236</v>
          </cell>
          <cell r="B242" t="str">
            <v>PORCA-OLHAL</v>
          </cell>
          <cell r="C242" t="str">
            <v>ud</v>
          </cell>
          <cell r="D242">
            <v>10.68</v>
          </cell>
        </row>
        <row r="243">
          <cell r="A243" t="str">
            <v>ILU-237</v>
          </cell>
          <cell r="B243" t="str">
            <v xml:space="preserve">POSTE CONCRETO ARMADO SEÇÃO CIRCULAR  200 DAN/12,00 M </v>
          </cell>
          <cell r="C243" t="str">
            <v>ud</v>
          </cell>
          <cell r="D243">
            <v>1129.6300000000001</v>
          </cell>
        </row>
        <row r="244">
          <cell r="A244" t="str">
            <v>ILU-238</v>
          </cell>
          <cell r="B244" t="str">
            <v xml:space="preserve">POSTE CONCRETO ARMADO SEÇÃO CIRCULAR  200 DAN/15,00 M </v>
          </cell>
          <cell r="C244" t="str">
            <v>ud</v>
          </cell>
          <cell r="D244">
            <v>1587.09</v>
          </cell>
        </row>
        <row r="245">
          <cell r="A245" t="str">
            <v>ILU-239</v>
          </cell>
          <cell r="B245" t="str">
            <v>POSTE CONCRETO ARMADO TIPO DUPLO T 150/ 9,00 M</v>
          </cell>
          <cell r="C245" t="str">
            <v>ud</v>
          </cell>
          <cell r="D245">
            <v>557.54999999999995</v>
          </cell>
        </row>
        <row r="246">
          <cell r="A246" t="str">
            <v>ILU-240</v>
          </cell>
          <cell r="B246" t="str">
            <v>POSTE CONCRETO ARMADO TIPO DUPLO T B/300/10,5 M</v>
          </cell>
          <cell r="C246" t="str">
            <v>ud</v>
          </cell>
          <cell r="D246">
            <v>825.84</v>
          </cell>
        </row>
        <row r="247">
          <cell r="A247" t="str">
            <v>ILU-241</v>
          </cell>
          <cell r="B247" t="str">
            <v>POSTE CONCRETO ARMADO TIPO DUPLO T B/300/12,00 M</v>
          </cell>
          <cell r="C247" t="str">
            <v>ud</v>
          </cell>
          <cell r="D247">
            <v>1009.32</v>
          </cell>
        </row>
        <row r="248">
          <cell r="A248" t="str">
            <v>ILU-242</v>
          </cell>
          <cell r="B248" t="str">
            <v>POSTE CONCRETO ARMADO TIPO DUPLO T B/600/10,50 M</v>
          </cell>
          <cell r="C248" t="str">
            <v>ud</v>
          </cell>
          <cell r="D248">
            <v>1073.68</v>
          </cell>
        </row>
        <row r="249">
          <cell r="A249" t="str">
            <v>ILU-243</v>
          </cell>
          <cell r="B249" t="str">
            <v>POSTE CONCRETO ARMADO TIPO DUPLO T B/600/12,00 M</v>
          </cell>
          <cell r="C249" t="str">
            <v>ud</v>
          </cell>
          <cell r="D249">
            <v>1311.29</v>
          </cell>
        </row>
        <row r="250">
          <cell r="A250" t="str">
            <v>ILU-244</v>
          </cell>
          <cell r="B250" t="str">
            <v>POSTE CONCRETO ARMADO TIPO DUPLO T D/150/10,50 M</v>
          </cell>
          <cell r="C250" t="str">
            <v>ud</v>
          </cell>
          <cell r="D250">
            <v>641.01</v>
          </cell>
        </row>
        <row r="251">
          <cell r="A251" t="str">
            <v>ILU-245</v>
          </cell>
          <cell r="B251" t="str">
            <v>POSTE CONCRETO ARMADO TIPO DUPLO T D/200/12,00 M</v>
          </cell>
          <cell r="C251" t="str">
            <v>ud</v>
          </cell>
          <cell r="D251">
            <v>825.52</v>
          </cell>
        </row>
        <row r="252">
          <cell r="A252" t="str">
            <v>ILU-246</v>
          </cell>
          <cell r="B252" t="str">
            <v>POSTE CONCRETO ARMADO TIPO DUPLO T B/600/13,5 M</v>
          </cell>
          <cell r="C252" t="str">
            <v>ud</v>
          </cell>
          <cell r="D252">
            <v>1993.38</v>
          </cell>
        </row>
        <row r="253">
          <cell r="A253" t="str">
            <v>ILU-247</v>
          </cell>
          <cell r="B253" t="str">
            <v>POSTE CONCRETO ARMADO TIPO DUPLO T B-1,5/1000/12 M</v>
          </cell>
          <cell r="C253" t="str">
            <v>ud</v>
          </cell>
          <cell r="D253">
            <v>2238.87</v>
          </cell>
        </row>
        <row r="254">
          <cell r="A254" t="str">
            <v>ILU-248</v>
          </cell>
          <cell r="B254" t="str">
            <v>POSTE CONCRETO ARMADO TIPO DUPLO T B-1,5/1000/13,5 M</v>
          </cell>
          <cell r="C254" t="str">
            <v>ud</v>
          </cell>
          <cell r="D254">
            <v>2814.3</v>
          </cell>
        </row>
        <row r="255">
          <cell r="A255" t="str">
            <v>ILU-249</v>
          </cell>
          <cell r="B255" t="str">
            <v>POSTE CONCRETO ARMADO TIPO DUPLO T B-4,5/2000/12 M</v>
          </cell>
          <cell r="C255" t="str">
            <v>ud</v>
          </cell>
          <cell r="D255">
            <v>3563.83</v>
          </cell>
        </row>
        <row r="256">
          <cell r="A256" t="str">
            <v>ILU-250</v>
          </cell>
          <cell r="B256" t="str">
            <v>POSTE CONCRETO ARMADO TIPO DUPLO T B-6/3000/12 M</v>
          </cell>
          <cell r="C256" t="str">
            <v>ud</v>
          </cell>
          <cell r="D256">
            <v>5015.72</v>
          </cell>
        </row>
        <row r="257">
          <cell r="A257" t="str">
            <v>ILU-251</v>
          </cell>
          <cell r="B257" t="str">
            <v xml:space="preserve">POSTE POLIMÉRICO H= 4,00M ÚTIL, COLUNA CÔNICA RETA EM FIBRA DE VIDRO, COM PORTA DE ACESSO AOS CABOS H= 1,00M DO SOLO, TOPO Ø 60 MM PARA ENCAIXE DA LUMINÁRIA. </v>
          </cell>
          <cell r="C257" t="str">
            <v>ud</v>
          </cell>
          <cell r="D257">
            <v>1656.26</v>
          </cell>
        </row>
        <row r="258">
          <cell r="A258" t="str">
            <v>ILU-252</v>
          </cell>
          <cell r="B258" t="str">
            <v>PROTETOR DE BUCHA AT 15 KV</v>
          </cell>
          <cell r="C258" t="str">
            <v>ud</v>
          </cell>
          <cell r="D258">
            <v>27.42</v>
          </cell>
        </row>
        <row r="259">
          <cell r="A259" t="str">
            <v>ILU-253</v>
          </cell>
          <cell r="B259" t="str">
            <v>RABICHO PARA RSI 35MM2; 0,5 C/3 RABICHOS COLORIDOS</v>
          </cell>
          <cell r="C259" t="str">
            <v>ud</v>
          </cell>
          <cell r="D259">
            <v>30.96</v>
          </cell>
        </row>
        <row r="260">
          <cell r="A260" t="str">
            <v>ILU-254</v>
          </cell>
          <cell r="B260" t="str">
            <v>SAPATILHA</v>
          </cell>
          <cell r="C260" t="str">
            <v>ud</v>
          </cell>
          <cell r="D260">
            <v>3.16</v>
          </cell>
        </row>
        <row r="261">
          <cell r="A261" t="str">
            <v>ILU-255</v>
          </cell>
          <cell r="B261" t="str">
            <v xml:space="preserve">SUPORTE "C" (NTC-81-3969) 15/35KV </v>
          </cell>
          <cell r="C261" t="str">
            <v>ud</v>
          </cell>
          <cell r="D261">
            <v>159.81</v>
          </cell>
        </row>
        <row r="262">
          <cell r="A262" t="str">
            <v>ILU-256</v>
          </cell>
          <cell r="B262" t="str">
            <v>SUPORTE DE TRANSFORMADOR 195X100 MM</v>
          </cell>
          <cell r="C262" t="str">
            <v>ud</v>
          </cell>
          <cell r="D262">
            <v>83.58</v>
          </cell>
        </row>
        <row r="263">
          <cell r="A263" t="str">
            <v>ILU-257</v>
          </cell>
          <cell r="B263" t="str">
            <v xml:space="preserve">SUPORTE HORIZONTAL (COPEL) 13,8 / 34,5KV </v>
          </cell>
          <cell r="C263" t="str">
            <v>ud</v>
          </cell>
          <cell r="D263">
            <v>70.510000000000005</v>
          </cell>
        </row>
        <row r="264">
          <cell r="A264" t="str">
            <v>ILU-258</v>
          </cell>
          <cell r="B264" t="str">
            <v>SUPORTE L</v>
          </cell>
          <cell r="C264" t="str">
            <v>ud</v>
          </cell>
          <cell r="D264">
            <v>27.13</v>
          </cell>
        </row>
        <row r="265">
          <cell r="A265" t="str">
            <v>ILU-259</v>
          </cell>
          <cell r="B265" t="str">
            <v>TERMINAL DE COBRE A COMPRESSÃO PARA CABO DE 2,5 MM²</v>
          </cell>
          <cell r="C265" t="str">
            <v>ud</v>
          </cell>
          <cell r="D265">
            <v>1.67</v>
          </cell>
        </row>
        <row r="266">
          <cell r="A266" t="str">
            <v>ILU-260</v>
          </cell>
          <cell r="B266" t="str">
            <v>TERMINAL DE COBRE A COMPRESSÃO PARA CABO DE 35 MM²</v>
          </cell>
          <cell r="C266" t="str">
            <v>ud</v>
          </cell>
          <cell r="D266">
            <v>3.32</v>
          </cell>
        </row>
        <row r="267">
          <cell r="A267" t="str">
            <v>ILU-261</v>
          </cell>
          <cell r="B267" t="str">
            <v>TERMINAL DE COBRE A COMPRESSÃO PARA CABO DE 4,0 A 6,0 MM²</v>
          </cell>
          <cell r="C267" t="str">
            <v>ud</v>
          </cell>
          <cell r="D267">
            <v>2.84</v>
          </cell>
        </row>
        <row r="268">
          <cell r="A268" t="str">
            <v>ILU-262</v>
          </cell>
          <cell r="B268" t="str">
            <v xml:space="preserve">TUBO FG Ø   2"  BARRA 6M </v>
          </cell>
          <cell r="C268" t="str">
            <v>ud</v>
          </cell>
          <cell r="D268">
            <v>398.06</v>
          </cell>
        </row>
        <row r="269">
          <cell r="A269" t="str">
            <v>ILU-263</v>
          </cell>
          <cell r="B269" t="str">
            <v>TUBO FG Ø   3"  BARRA 6M</v>
          </cell>
          <cell r="C269" t="str">
            <v>ud</v>
          </cell>
          <cell r="D269">
            <v>599.66999999999996</v>
          </cell>
        </row>
        <row r="270">
          <cell r="A270" t="str">
            <v>ILU-264</v>
          </cell>
          <cell r="B270" t="str">
            <v>TUBO FG Ø 3/4" BARRA 6M</v>
          </cell>
          <cell r="C270" t="str">
            <v>ud</v>
          </cell>
          <cell r="D270">
            <v>145.58000000000001</v>
          </cell>
        </row>
        <row r="271">
          <cell r="A271" t="str">
            <v>ILU-265</v>
          </cell>
          <cell r="B271" t="str">
            <v xml:space="preserve">LUMINÁRIA FECHADA DE ALTO RENDIMENTO COMPLETA COM REATOR, CAPACITOR E IGNITOR, PARA LÂMPADA DE VAPOR MET. DE 100 W </v>
          </cell>
          <cell r="C271" t="str">
            <v>ud</v>
          </cell>
          <cell r="D271">
            <v>543.98</v>
          </cell>
        </row>
        <row r="273">
          <cell r="A273" t="str">
            <v>ILU-266</v>
          </cell>
          <cell r="B273" t="str">
            <v xml:space="preserve">LUMINÁRIA FECHADA DE ALTO RENDIMENTO COMPLETA COM REATOR, CAPACITOR E IGNITOR, PARA LÂMPADA DE VAPOR MET. DE 150 W </v>
          </cell>
          <cell r="C273" t="str">
            <v>ud</v>
          </cell>
          <cell r="D273">
            <v>561.09</v>
          </cell>
        </row>
        <row r="275">
          <cell r="A275" t="str">
            <v>ILU-267</v>
          </cell>
          <cell r="B275" t="str">
            <v xml:space="preserve">LUMINÁRIA FECHADA DE ALTO RENDIMENTO COMPLETA COM REATOR, CAPACITOR E IGNITOR, PARA LÂMPADA DE VAPOR MET. DE 250 W </v>
          </cell>
          <cell r="C275" t="str">
            <v>ud</v>
          </cell>
          <cell r="D275">
            <v>665.68</v>
          </cell>
        </row>
        <row r="277">
          <cell r="A277" t="str">
            <v>ILU-268</v>
          </cell>
          <cell r="B277" t="str">
            <v xml:space="preserve">LUMINÁRIA FECHADA DE ALTO RENDIMENTO COMPLETA COM REATOR, CAPACITOR E IGNITOR, PARA LÂMPADA DE VAPOR MET. DE 400 W </v>
          </cell>
          <cell r="C277" t="str">
            <v>ud</v>
          </cell>
          <cell r="D277">
            <v>729.79</v>
          </cell>
        </row>
        <row r="279">
          <cell r="A279" t="str">
            <v>ILU-269</v>
          </cell>
          <cell r="B279" t="str">
            <v xml:space="preserve">LUMINÁRIA DECORATIVA DE ALTO RENDIMENTO COMPLETA COM REATOR, CAPACITOR E IGNITOR, PARA LÂMPADA DE VAPOR MET. DE 150 W </v>
          </cell>
          <cell r="C279" t="str">
            <v>ud</v>
          </cell>
          <cell r="D279">
            <v>1535.55</v>
          </cell>
        </row>
        <row r="281">
          <cell r="A281" t="str">
            <v>ILU-270</v>
          </cell>
          <cell r="B281" t="str">
            <v xml:space="preserve">LUMINÁRIA DECORATIVA DE ALTO RENDIMENTO COMPLETA COM REATOR, CAPACITOR E IGNITOR, PARA LÂMPADA DE VAPOR MET. DE 250 W </v>
          </cell>
          <cell r="C281" t="str">
            <v>ud</v>
          </cell>
          <cell r="D281">
            <v>1648.64</v>
          </cell>
        </row>
        <row r="283">
          <cell r="A283" t="str">
            <v>ILU-271</v>
          </cell>
          <cell r="B283" t="str">
            <v>LÂMPADA TUBULAR VAPOR SÓDIO 70 W</v>
          </cell>
          <cell r="C283" t="str">
            <v>ud</v>
          </cell>
          <cell r="D283">
            <v>22.53</v>
          </cell>
        </row>
        <row r="284">
          <cell r="A284" t="str">
            <v>ILU-272</v>
          </cell>
          <cell r="B284" t="str">
            <v>LÂMPADA TUBULAR VAPOR SÓDIO 100 W</v>
          </cell>
          <cell r="C284" t="str">
            <v>ud</v>
          </cell>
          <cell r="D284">
            <v>27.89</v>
          </cell>
        </row>
        <row r="285">
          <cell r="A285" t="str">
            <v>ILU-273</v>
          </cell>
          <cell r="B285" t="str">
            <v>LÂMPADA TUBULAR VAPOR SÓDIO 150 W</v>
          </cell>
          <cell r="C285" t="str">
            <v>ud</v>
          </cell>
          <cell r="D285">
            <v>40.46</v>
          </cell>
        </row>
        <row r="286">
          <cell r="A286" t="str">
            <v>ILU-274</v>
          </cell>
          <cell r="B286" t="str">
            <v>LÂMPADA TUBULAR VAPOR SÓDIO 250 W</v>
          </cell>
          <cell r="C286" t="str">
            <v>ud</v>
          </cell>
          <cell r="D286">
            <v>37.43</v>
          </cell>
        </row>
        <row r="287">
          <cell r="A287" t="str">
            <v>ILU-275</v>
          </cell>
          <cell r="B287" t="str">
            <v>LÂMPADA TUBULAR VAPOR SÓDIO 400 W</v>
          </cell>
          <cell r="C287" t="str">
            <v>ud</v>
          </cell>
          <cell r="D287">
            <v>45.07</v>
          </cell>
        </row>
        <row r="288">
          <cell r="A288" t="str">
            <v>ILU-276</v>
          </cell>
          <cell r="B288" t="str">
            <v>LÂMPADA TUBULAR VAPOR METÁLICO 150 W - TEMPERATURA COR 2800 A 4000K</v>
          </cell>
          <cell r="C288" t="str">
            <v>ud</v>
          </cell>
          <cell r="D288">
            <v>156.86000000000001</v>
          </cell>
        </row>
        <row r="289">
          <cell r="A289" t="str">
            <v>ILU-277</v>
          </cell>
          <cell r="B289" t="str">
            <v>LÂMPADA TUBULAR VAPOR METÁLICO 250 W - TEMPERATURA COR 2800 A 4000K</v>
          </cell>
          <cell r="C289" t="str">
            <v>ud</v>
          </cell>
          <cell r="D289">
            <v>48.26</v>
          </cell>
        </row>
        <row r="290">
          <cell r="A290" t="str">
            <v>ILU-278</v>
          </cell>
          <cell r="B290" t="str">
            <v>LÂMPADA TUBULAR VAPOR METÁLICO 400 W - TEMPERATURA COR 2800 A 4000K</v>
          </cell>
          <cell r="C290" t="str">
            <v>ud</v>
          </cell>
          <cell r="D290">
            <v>57.98</v>
          </cell>
        </row>
        <row r="291">
          <cell r="A291" t="str">
            <v>ILU-279</v>
          </cell>
          <cell r="B291" t="str">
            <v>TRANSFORMADOR AUTOPROTEGIDO 13,2 KV - 45 KVA</v>
          </cell>
          <cell r="C291" t="str">
            <v>ud</v>
          </cell>
          <cell r="D291">
            <v>6262.64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.BÁSICOS"/>
      <sheetName val="C.UNIT.SERV."/>
      <sheetName val="MATERIAL"/>
      <sheetName val="EQUIPAMENTOS"/>
      <sheetName val="MÃODEOBRA"/>
      <sheetName val="DADOGERAL"/>
      <sheetName val="T.CAM"/>
    </sheetNames>
    <sheetDataSet>
      <sheetData sheetId="0"/>
      <sheetData sheetId="1">
        <row r="5">
          <cell r="E5" t="str">
            <v>DATA-BASE:      MAIO/2011/PR</v>
          </cell>
        </row>
      </sheetData>
      <sheetData sheetId="2">
        <row r="1">
          <cell r="A1" t="str">
            <v>CÓDIGO</v>
          </cell>
          <cell r="B1" t="str">
            <v xml:space="preserve">CUSTO UNITÁRIOS DE MATERIAIS </v>
          </cell>
          <cell r="C1" t="str">
            <v>UNID</v>
          </cell>
          <cell r="D1" t="str">
            <v>PREÇO UNITÁRIO</v>
          </cell>
        </row>
        <row r="2">
          <cell r="A2" t="str">
            <v>AM01</v>
          </cell>
          <cell r="B2" t="str">
            <v>AÇO D=4,2 MM CA 25</v>
          </cell>
          <cell r="C2" t="str">
            <v>kg</v>
          </cell>
          <cell r="D2">
            <v>2.84</v>
          </cell>
        </row>
        <row r="3">
          <cell r="A3" t="str">
            <v>AM02</v>
          </cell>
          <cell r="B3" t="str">
            <v>AÇO D=6,3 MM CA 25</v>
          </cell>
          <cell r="C3" t="str">
            <v>kg</v>
          </cell>
          <cell r="D3">
            <v>3.2</v>
          </cell>
        </row>
        <row r="4">
          <cell r="A4" t="str">
            <v>AM03</v>
          </cell>
          <cell r="B4" t="str">
            <v>AÇO D=10 MM CA 25</v>
          </cell>
          <cell r="C4" t="str">
            <v>kg</v>
          </cell>
          <cell r="D4">
            <v>3</v>
          </cell>
        </row>
        <row r="5">
          <cell r="A5" t="str">
            <v>AM04</v>
          </cell>
          <cell r="B5" t="str">
            <v>AÇO D=6,3 MM CA 50</v>
          </cell>
          <cell r="C5" t="str">
            <v>kg</v>
          </cell>
        </row>
        <row r="6">
          <cell r="A6" t="str">
            <v>AM05</v>
          </cell>
          <cell r="B6" t="str">
            <v>AÇO D=10 MM CA 50</v>
          </cell>
          <cell r="C6" t="str">
            <v>kg</v>
          </cell>
        </row>
        <row r="7">
          <cell r="A7" t="str">
            <v>AM06</v>
          </cell>
          <cell r="B7" t="str">
            <v>AÇO D=4,2 MM CA60</v>
          </cell>
          <cell r="C7" t="str">
            <v>kg</v>
          </cell>
        </row>
        <row r="8">
          <cell r="A8" t="str">
            <v>AM07</v>
          </cell>
          <cell r="B8" t="str">
            <v>AÇO D=5,0 MM CA60</v>
          </cell>
          <cell r="C8" t="str">
            <v>kg</v>
          </cell>
        </row>
        <row r="9">
          <cell r="A9" t="str">
            <v>AM08</v>
          </cell>
          <cell r="B9" t="str">
            <v>AÇO D=6,0 mm CA 60</v>
          </cell>
          <cell r="C9" t="str">
            <v>kg</v>
          </cell>
        </row>
        <row r="10">
          <cell r="A10" t="str">
            <v>AM25</v>
          </cell>
          <cell r="B10" t="str">
            <v>MANDÍBULA MÓVEL C96 STANDART</v>
          </cell>
          <cell r="C10" t="str">
            <v>ud/h</v>
          </cell>
        </row>
        <row r="11">
          <cell r="A11" t="str">
            <v>AM26</v>
          </cell>
          <cell r="B11" t="str">
            <v>MANDÍBULA FIXA C96 STANDART</v>
          </cell>
          <cell r="C11" t="str">
            <v>ud/h</v>
          </cell>
        </row>
        <row r="12">
          <cell r="A12" t="str">
            <v>AM27</v>
          </cell>
          <cell r="B12" t="str">
            <v>MANTA HP200</v>
          </cell>
          <cell r="C12" t="str">
            <v>ud/h</v>
          </cell>
        </row>
        <row r="13">
          <cell r="A13" t="str">
            <v>AM28</v>
          </cell>
          <cell r="B13" t="str">
            <v>REVESTIMENTO BOJO STD HP200</v>
          </cell>
          <cell r="C13" t="str">
            <v>ud/h</v>
          </cell>
        </row>
        <row r="14">
          <cell r="A14" t="str">
            <v>AM29</v>
          </cell>
          <cell r="B14" t="str">
            <v>CUNHA LATERAL SUPERIOR C96</v>
          </cell>
          <cell r="C14" t="str">
            <v>ud/h</v>
          </cell>
        </row>
        <row r="15">
          <cell r="A15" t="str">
            <v>AM30</v>
          </cell>
          <cell r="B15" t="str">
            <v>CUNHA LATERAL INFERIOR C96</v>
          </cell>
          <cell r="C15" t="str">
            <v>ud/h</v>
          </cell>
        </row>
        <row r="16">
          <cell r="A16" t="str">
            <v>AM35</v>
          </cell>
          <cell r="B16" t="str">
            <v>BRITA 1</v>
          </cell>
          <cell r="C16" t="str">
            <v>m3</v>
          </cell>
          <cell r="D16">
            <v>44</v>
          </cell>
        </row>
        <row r="17">
          <cell r="A17" t="str">
            <v>AM36</v>
          </cell>
          <cell r="B17" t="str">
            <v>BRITA 2</v>
          </cell>
          <cell r="C17" t="str">
            <v>m3</v>
          </cell>
          <cell r="D17">
            <v>44</v>
          </cell>
        </row>
        <row r="18">
          <cell r="A18" t="str">
            <v>AM37</v>
          </cell>
          <cell r="B18" t="str">
            <v>BRITA 3</v>
          </cell>
          <cell r="C18" t="str">
            <v>m3</v>
          </cell>
          <cell r="D18">
            <v>54.16</v>
          </cell>
        </row>
        <row r="20">
          <cell r="A20" t="str">
            <v>F801</v>
          </cell>
          <cell r="B20" t="str">
            <v>BOMBA HIDR.ALTA PRESSÃO MAC</v>
          </cell>
          <cell r="C20" t="str">
            <v>h</v>
          </cell>
          <cell r="D20">
            <v>33.25</v>
          </cell>
        </row>
        <row r="21">
          <cell r="A21" t="str">
            <v>F802</v>
          </cell>
          <cell r="B21" t="str">
            <v>BOMBA ELETR. P/ INJEÇÃO DE NATA MAC</v>
          </cell>
          <cell r="C21" t="str">
            <v>h</v>
          </cell>
          <cell r="D21">
            <v>24.625</v>
          </cell>
        </row>
        <row r="22">
          <cell r="A22" t="str">
            <v>F803</v>
          </cell>
          <cell r="B22" t="str">
            <v>MACACO P/ PROTENSÃO MAC 7</v>
          </cell>
          <cell r="C22" t="str">
            <v>h</v>
          </cell>
        </row>
        <row r="23">
          <cell r="A23" t="str">
            <v>F804</v>
          </cell>
          <cell r="B23" t="str">
            <v>MACACO P/ PROTENSÃO MAC 12</v>
          </cell>
          <cell r="C23" t="str">
            <v>h</v>
          </cell>
          <cell r="D23">
            <v>36</v>
          </cell>
        </row>
        <row r="24">
          <cell r="A24" t="str">
            <v>F805</v>
          </cell>
          <cell r="B24" t="str">
            <v>MACACO P/ PROTENSÃO MAC 4</v>
          </cell>
          <cell r="C24" t="str">
            <v>h</v>
          </cell>
        </row>
        <row r="25">
          <cell r="A25" t="str">
            <v>F807</v>
          </cell>
          <cell r="B25" t="str">
            <v>BOMBA HIDR.ALTA PRESSÃO STUP</v>
          </cell>
          <cell r="C25" t="str">
            <v>h</v>
          </cell>
        </row>
        <row r="26">
          <cell r="A26" t="str">
            <v>F808</v>
          </cell>
          <cell r="B26" t="str">
            <v>BOMBA ELETR. INJEÇÃO DE NATA STUP</v>
          </cell>
          <cell r="C26" t="str">
            <v>h</v>
          </cell>
        </row>
        <row r="27">
          <cell r="A27" t="str">
            <v>F810</v>
          </cell>
          <cell r="B27" t="str">
            <v>MACACO PARA PROTENSÃO STUP</v>
          </cell>
          <cell r="C27" t="str">
            <v>h</v>
          </cell>
        </row>
        <row r="28">
          <cell r="A28" t="str">
            <v>F813</v>
          </cell>
          <cell r="B28" t="str">
            <v>MACACO P/ PROTENSÃO DE TIRANTE D=32MM</v>
          </cell>
          <cell r="C28" t="str">
            <v>h</v>
          </cell>
          <cell r="D28">
            <v>20.625</v>
          </cell>
        </row>
        <row r="29">
          <cell r="A29" t="str">
            <v>F814</v>
          </cell>
          <cell r="B29" t="str">
            <v>INJEÇÃO DE NATA DE CIMENTO</v>
          </cell>
          <cell r="C29" t="str">
            <v>m</v>
          </cell>
          <cell r="D29">
            <v>11</v>
          </cell>
        </row>
        <row r="30">
          <cell r="A30" t="str">
            <v>F943</v>
          </cell>
          <cell r="B30" t="str">
            <v>TERRA ARMADA - MOLDES METÁLICOS</v>
          </cell>
          <cell r="C30" t="str">
            <v>m3</v>
          </cell>
          <cell r="D30">
            <v>9.1999999999999993</v>
          </cell>
        </row>
        <row r="32">
          <cell r="A32" t="str">
            <v>M001</v>
          </cell>
          <cell r="B32" t="str">
            <v>GASOLINA</v>
          </cell>
          <cell r="C32" t="str">
            <v>l</v>
          </cell>
        </row>
        <row r="33">
          <cell r="A33" t="str">
            <v>M002</v>
          </cell>
          <cell r="B33" t="str">
            <v>ÓLEO DIESEL</v>
          </cell>
          <cell r="C33" t="str">
            <v>l</v>
          </cell>
        </row>
        <row r="34">
          <cell r="A34" t="str">
            <v>M003</v>
          </cell>
          <cell r="B34" t="str">
            <v>ÓLEO COMBUSTÍVEL 1 A</v>
          </cell>
          <cell r="C34" t="str">
            <v>l</v>
          </cell>
        </row>
        <row r="36">
          <cell r="A36" t="str">
            <v>ANP1</v>
          </cell>
          <cell r="B36" t="str">
            <v>CIMENTO ASF. DE PETRÓLEO - CAP 50/70</v>
          </cell>
          <cell r="C36" t="str">
            <v>t</v>
          </cell>
        </row>
        <row r="37">
          <cell r="A37" t="str">
            <v>ANP2</v>
          </cell>
          <cell r="B37" t="str">
            <v>ASFALTO DILUIDO - CM - 30</v>
          </cell>
          <cell r="C37" t="str">
            <v>t</v>
          </cell>
        </row>
        <row r="38">
          <cell r="A38" t="str">
            <v>ANP3</v>
          </cell>
          <cell r="B38" t="str">
            <v>EMULSÃO ASFÁLTICA RR-1C</v>
          </cell>
          <cell r="C38" t="str">
            <v>t</v>
          </cell>
        </row>
        <row r="39">
          <cell r="A39" t="str">
            <v>ANP4</v>
          </cell>
          <cell r="B39" t="str">
            <v>EMULSÃO ASFÁLTICA RR-2C</v>
          </cell>
          <cell r="C39" t="str">
            <v>t</v>
          </cell>
        </row>
        <row r="41">
          <cell r="A41" t="str">
            <v>M201</v>
          </cell>
          <cell r="B41" t="str">
            <v>CIMENTO PORTLAND CP - 32 ( A GRANEL)</v>
          </cell>
          <cell r="C41" t="str">
            <v>kg</v>
          </cell>
        </row>
        <row r="42">
          <cell r="A42" t="str">
            <v>M202</v>
          </cell>
          <cell r="B42" t="str">
            <v>CIMENTO PORTLAND CP - 32</v>
          </cell>
          <cell r="C42" t="str">
            <v>kg</v>
          </cell>
          <cell r="D42">
            <v>0.34399999999999997</v>
          </cell>
        </row>
        <row r="44">
          <cell r="A44" t="str">
            <v>M307</v>
          </cell>
          <cell r="B44" t="str">
            <v>CORDOALHA CP-190 RB D=12,7MM</v>
          </cell>
          <cell r="C44" t="str">
            <v>kg</v>
          </cell>
          <cell r="D44">
            <v>5.24</v>
          </cell>
        </row>
        <row r="45">
          <cell r="A45" t="str">
            <v>M319</v>
          </cell>
          <cell r="B45" t="str">
            <v>ARAME RECOZIDO N. 18</v>
          </cell>
          <cell r="C45" t="str">
            <v>kg</v>
          </cell>
          <cell r="D45">
            <v>4.2</v>
          </cell>
        </row>
        <row r="46">
          <cell r="A46" t="str">
            <v>M320</v>
          </cell>
          <cell r="B46" t="str">
            <v>PREGOS DE FERRO (18 X 30)</v>
          </cell>
          <cell r="C46" t="str">
            <v>kg</v>
          </cell>
          <cell r="D46">
            <v>4.16</v>
          </cell>
        </row>
        <row r="47">
          <cell r="A47" t="str">
            <v>M321</v>
          </cell>
          <cell r="B47" t="str">
            <v>ARAME FARPADO N. 16 GALV. SIMPLES</v>
          </cell>
          <cell r="C47" t="str">
            <v>m</v>
          </cell>
        </row>
        <row r="48">
          <cell r="A48" t="str">
            <v>M322</v>
          </cell>
          <cell r="B48" t="str">
            <v>GRAMPO PARA CERCA GALVANIZADO 1 x 9</v>
          </cell>
          <cell r="C48" t="str">
            <v xml:space="preserve">kg </v>
          </cell>
        </row>
        <row r="49">
          <cell r="A49" t="str">
            <v>M324</v>
          </cell>
          <cell r="B49" t="str">
            <v>PÓRTICO METÁLICO (15 A 17 M DE VÃO)</v>
          </cell>
          <cell r="C49" t="str">
            <v>ud</v>
          </cell>
        </row>
        <row r="50">
          <cell r="A50" t="str">
            <v>M326</v>
          </cell>
          <cell r="B50" t="str">
            <v>SÉRIE DE BROCAS S-12 - D = 22 mm</v>
          </cell>
          <cell r="C50" t="str">
            <v>ud</v>
          </cell>
        </row>
        <row r="51">
          <cell r="A51" t="str">
            <v>M328</v>
          </cell>
          <cell r="B51" t="str">
            <v>LUVA DE EMENDA D=32 mm</v>
          </cell>
          <cell r="C51" t="str">
            <v>ud</v>
          </cell>
          <cell r="D51">
            <v>88.33</v>
          </cell>
        </row>
        <row r="52">
          <cell r="A52" t="str">
            <v>M332</v>
          </cell>
          <cell r="B52" t="str">
            <v>PARAFUSO  1/2" x 3" COM PORCA</v>
          </cell>
          <cell r="C52" t="str">
            <v>kg</v>
          </cell>
        </row>
        <row r="53">
          <cell r="A53" t="str">
            <v>M334</v>
          </cell>
          <cell r="B53" t="str">
            <v>PARAFUSO ZINC. C/ FENDA 1 1/2" x 3/16"</v>
          </cell>
          <cell r="C53" t="str">
            <v>ud</v>
          </cell>
        </row>
        <row r="54">
          <cell r="A54" t="str">
            <v>M335</v>
          </cell>
          <cell r="B54" t="str">
            <v>PARAFUSO ZINC. FRANCÊS 4" x 5/16"</v>
          </cell>
          <cell r="C54" t="str">
            <v>ud</v>
          </cell>
        </row>
        <row r="55">
          <cell r="A55" t="str">
            <v>M338</v>
          </cell>
          <cell r="B55" t="str">
            <v>TUBO DE FERRO GALVANIZADO D=3/4"</v>
          </cell>
          <cell r="C55" t="str">
            <v>m</v>
          </cell>
        </row>
        <row r="56">
          <cell r="A56" t="str">
            <v>M343</v>
          </cell>
          <cell r="B56" t="str">
            <v>DEFENSA METÁLICA SEMI-MALEÁVEL SIMPLES</v>
          </cell>
          <cell r="C56" t="str">
            <v>mod</v>
          </cell>
        </row>
        <row r="57">
          <cell r="A57" t="str">
            <v>M345</v>
          </cell>
          <cell r="B57" t="str">
            <v>CHAPA DE AÇO N. 28 FINA GALVANIZADA</v>
          </cell>
          <cell r="C57" t="str">
            <v>kg</v>
          </cell>
        </row>
        <row r="58">
          <cell r="A58" t="str">
            <v>M346</v>
          </cell>
          <cell r="B58" t="str">
            <v>CHAPA DE AÇO N. 16 (TRATADA)</v>
          </cell>
          <cell r="C58" t="str">
            <v>m2</v>
          </cell>
        </row>
        <row r="59">
          <cell r="A59" t="str">
            <v>M359</v>
          </cell>
          <cell r="B59" t="str">
            <v>PERFIL "I" W 250MM X 17,9 KG/M</v>
          </cell>
          <cell r="C59" t="str">
            <v xml:space="preserve">kg </v>
          </cell>
          <cell r="D59">
            <v>2.95</v>
          </cell>
        </row>
        <row r="60">
          <cell r="A60" t="str">
            <v>M372</v>
          </cell>
          <cell r="B60" t="str">
            <v>BAINHA METÁLICA DIÂM INT.=55 mm MAC</v>
          </cell>
          <cell r="C60" t="str">
            <v>m</v>
          </cell>
        </row>
        <row r="61">
          <cell r="A61" t="str">
            <v>M374</v>
          </cell>
          <cell r="B61" t="str">
            <v>ANCORAGEM P/ CABO 4V D=1/2" MAC</v>
          </cell>
          <cell r="C61" t="str">
            <v>cj</v>
          </cell>
        </row>
        <row r="62">
          <cell r="A62" t="str">
            <v>M377</v>
          </cell>
          <cell r="B62" t="str">
            <v>ANCORAGEM P/ CABO 12V D=1/2" MAC</v>
          </cell>
          <cell r="C62" t="str">
            <v>cj</v>
          </cell>
          <cell r="D62">
            <v>960</v>
          </cell>
        </row>
        <row r="63">
          <cell r="A63" t="str">
            <v>M380</v>
          </cell>
          <cell r="B63" t="str">
            <v>BAINHA METÁLICA D=45 mm</v>
          </cell>
          <cell r="C63" t="str">
            <v>m</v>
          </cell>
          <cell r="D63">
            <v>14.5</v>
          </cell>
        </row>
        <row r="64">
          <cell r="A64" t="str">
            <v>M382</v>
          </cell>
          <cell r="B64" t="str">
            <v>BAINHA METÁLICA D=55 mm</v>
          </cell>
          <cell r="C64" t="str">
            <v>m</v>
          </cell>
        </row>
        <row r="65">
          <cell r="A65" t="str">
            <v>M383</v>
          </cell>
          <cell r="B65" t="str">
            <v>BAINHA METÁLICA D=70 mm</v>
          </cell>
          <cell r="C65" t="str">
            <v>m</v>
          </cell>
          <cell r="D65">
            <v>19.18</v>
          </cell>
        </row>
        <row r="66">
          <cell r="A66" t="str">
            <v>M387</v>
          </cell>
          <cell r="B66" t="str">
            <v>ANCORAGEM P/ CABO 12V D=1/2"STUP</v>
          </cell>
          <cell r="C66" t="str">
            <v>cj</v>
          </cell>
        </row>
        <row r="67">
          <cell r="A67" t="str">
            <v>M390</v>
          </cell>
          <cell r="B67" t="str">
            <v>PORCA DE ANCORAGEM D=32 mm</v>
          </cell>
          <cell r="C67" t="str">
            <v>ud</v>
          </cell>
          <cell r="D67">
            <v>61.71</v>
          </cell>
        </row>
        <row r="68">
          <cell r="A68" t="str">
            <v>M391</v>
          </cell>
          <cell r="B68" t="str">
            <v>CONTRA PORCA h=35 mm D=32 mm</v>
          </cell>
          <cell r="C68" t="str">
            <v>ud</v>
          </cell>
          <cell r="D68">
            <v>30.25</v>
          </cell>
        </row>
        <row r="69">
          <cell r="A69" t="str">
            <v>M392</v>
          </cell>
          <cell r="B69" t="str">
            <v>AÇO ST 85/105 D=32 mm</v>
          </cell>
          <cell r="C69" t="str">
            <v>m</v>
          </cell>
          <cell r="D69">
            <v>75.900000000000006</v>
          </cell>
        </row>
        <row r="70">
          <cell r="A70" t="str">
            <v>M393</v>
          </cell>
          <cell r="B70" t="str">
            <v>PLACA DE ANCORAGEM - 200 x 200 x 38 mm</v>
          </cell>
          <cell r="C70" t="str">
            <v>ud</v>
          </cell>
          <cell r="D70">
            <v>178.5</v>
          </cell>
        </row>
        <row r="71">
          <cell r="A71" t="str">
            <v>M394</v>
          </cell>
          <cell r="B71" t="str">
            <v>BAINHA METÁLICA D=40MM</v>
          </cell>
          <cell r="C71" t="str">
            <v>m</v>
          </cell>
        </row>
        <row r="75">
          <cell r="A75" t="str">
            <v>M401</v>
          </cell>
          <cell r="B75" t="str">
            <v>PONTALETES D = 15 cm (TRONCO P/ ESC.)</v>
          </cell>
          <cell r="C75" t="str">
            <v>m</v>
          </cell>
          <cell r="D75">
            <v>2.5</v>
          </cell>
        </row>
        <row r="76">
          <cell r="A76" t="str">
            <v>M402</v>
          </cell>
          <cell r="B76" t="str">
            <v>PONTALETES D = 20 cm (TRONCO P/ ESC.)</v>
          </cell>
          <cell r="C76" t="str">
            <v>m</v>
          </cell>
        </row>
        <row r="77">
          <cell r="A77" t="str">
            <v>M403</v>
          </cell>
          <cell r="B77" t="str">
            <v>MOURÃO MADEIRA H=2,10M D=0,10M</v>
          </cell>
          <cell r="C77" t="str">
            <v>ud</v>
          </cell>
        </row>
        <row r="78">
          <cell r="A78" t="str">
            <v>M404</v>
          </cell>
          <cell r="B78" t="str">
            <v>MOURÃO MADEIRA H=2,20M D=0,15M</v>
          </cell>
          <cell r="C78" t="str">
            <v>ud</v>
          </cell>
        </row>
        <row r="79">
          <cell r="A79" t="str">
            <v>M406</v>
          </cell>
          <cell r="B79" t="str">
            <v>CAIBROS DE 7,5 CM X 7,5 CM</v>
          </cell>
          <cell r="C79" t="str">
            <v>m</v>
          </cell>
        </row>
        <row r="80">
          <cell r="A80" t="str">
            <v>M407</v>
          </cell>
          <cell r="B80" t="str">
            <v>TABUA DE  1a 2,5 cm x 15,0 cm</v>
          </cell>
          <cell r="C80" t="str">
            <v>m</v>
          </cell>
          <cell r="D80">
            <v>4.5999999999999996</v>
          </cell>
        </row>
        <row r="81">
          <cell r="A81" t="str">
            <v>M408</v>
          </cell>
          <cell r="B81" t="str">
            <v>TABUA DE  3a 2,5 cm x 30,0 cm</v>
          </cell>
          <cell r="C81" t="str">
            <v>m</v>
          </cell>
          <cell r="D81">
            <v>2.7</v>
          </cell>
        </row>
        <row r="82">
          <cell r="A82" t="str">
            <v>M410</v>
          </cell>
          <cell r="B82" t="str">
            <v>COMPENSADO RESINADO DE 17 mm</v>
          </cell>
          <cell r="C82" t="str">
            <v>m2</v>
          </cell>
        </row>
        <row r="83">
          <cell r="A83" t="str">
            <v>M411</v>
          </cell>
          <cell r="B83" t="str">
            <v>COMPENSADO PLASTIFICADO DE 17 mm</v>
          </cell>
          <cell r="C83" t="str">
            <v>m2</v>
          </cell>
        </row>
        <row r="84">
          <cell r="A84" t="str">
            <v>M412</v>
          </cell>
          <cell r="B84" t="str">
            <v>GASTALHO 10 x 2,0 cm</v>
          </cell>
          <cell r="C84" t="str">
            <v>m</v>
          </cell>
        </row>
        <row r="85">
          <cell r="A85" t="str">
            <v>M413</v>
          </cell>
          <cell r="B85" t="str">
            <v>GASTALHO 10 x 2,5 cm</v>
          </cell>
          <cell r="C85" t="str">
            <v>m</v>
          </cell>
          <cell r="D85">
            <v>2</v>
          </cell>
        </row>
        <row r="86">
          <cell r="A86" t="str">
            <v>M414</v>
          </cell>
          <cell r="B86" t="str">
            <v>PRANCHÃO 7,5 x 30,0 cm</v>
          </cell>
          <cell r="C86" t="str">
            <v>m</v>
          </cell>
          <cell r="D86">
            <v>30</v>
          </cell>
        </row>
        <row r="87">
          <cell r="A87" t="str">
            <v>M415</v>
          </cell>
          <cell r="B87" t="str">
            <v>TÁBUA 2,5 x 22,5 cm</v>
          </cell>
          <cell r="C87" t="str">
            <v>m</v>
          </cell>
        </row>
        <row r="88">
          <cell r="A88" t="str">
            <v>M416</v>
          </cell>
          <cell r="B88" t="str">
            <v>MADEIRA DE LEI</v>
          </cell>
          <cell r="C88" t="str">
            <v>m3</v>
          </cell>
        </row>
        <row r="90">
          <cell r="A90" t="str">
            <v>M501</v>
          </cell>
          <cell r="B90" t="str">
            <v>DINAMITE A 60% (GELATINA ESPECIAL)</v>
          </cell>
          <cell r="C90" t="str">
            <v>kg</v>
          </cell>
        </row>
        <row r="91">
          <cell r="A91" t="str">
            <v>M503</v>
          </cell>
          <cell r="B91" t="str">
            <v>ESPOLETA COMUM no 8</v>
          </cell>
          <cell r="C91" t="str">
            <v>ud</v>
          </cell>
        </row>
        <row r="92">
          <cell r="A92" t="str">
            <v>M505</v>
          </cell>
          <cell r="B92" t="str">
            <v>CORDEL DETONANTE NP 10</v>
          </cell>
          <cell r="C92" t="str">
            <v>m</v>
          </cell>
        </row>
        <row r="93">
          <cell r="A93" t="str">
            <v>M507</v>
          </cell>
          <cell r="B93" t="str">
            <v>RETARDADOR DE CORDEL</v>
          </cell>
          <cell r="C93" t="str">
            <v>ud</v>
          </cell>
        </row>
        <row r="94">
          <cell r="A94" t="str">
            <v>M508</v>
          </cell>
          <cell r="B94" t="str">
            <v>ESTOPIM</v>
          </cell>
          <cell r="C94" t="str">
            <v>m</v>
          </cell>
        </row>
        <row r="96">
          <cell r="A96" t="str">
            <v>M601</v>
          </cell>
          <cell r="B96" t="str">
            <v>TINTA REFLETIVA ACRÍLICA P/ 2 ANOS</v>
          </cell>
          <cell r="C96" t="str">
            <v>l</v>
          </cell>
        </row>
        <row r="97">
          <cell r="A97" t="str">
            <v>M602</v>
          </cell>
          <cell r="B97" t="str">
            <v>ADUBO NPK (4.14.8)</v>
          </cell>
          <cell r="C97" t="str">
            <v>kg</v>
          </cell>
        </row>
        <row r="98">
          <cell r="A98" t="str">
            <v>M603</v>
          </cell>
          <cell r="B98" t="str">
            <v>INSETICIDA</v>
          </cell>
          <cell r="C98" t="str">
            <v>l</v>
          </cell>
        </row>
        <row r="99">
          <cell r="A99" t="str">
            <v>M604</v>
          </cell>
          <cell r="B99" t="str">
            <v>ADITIVO PLASTIMENT BV - 40</v>
          </cell>
          <cell r="C99" t="str">
            <v>kg</v>
          </cell>
          <cell r="D99">
            <v>2.31</v>
          </cell>
        </row>
        <row r="100">
          <cell r="A100" t="str">
            <v>M605</v>
          </cell>
          <cell r="B100" t="str">
            <v>COLA PARA TUBO PVC</v>
          </cell>
          <cell r="C100" t="str">
            <v>gr</v>
          </cell>
        </row>
        <row r="101">
          <cell r="A101" t="str">
            <v>M606</v>
          </cell>
          <cell r="B101" t="str">
            <v>TINTA ANTI-CORROSIVA</v>
          </cell>
          <cell r="C101" t="str">
            <v>l</v>
          </cell>
        </row>
        <row r="102">
          <cell r="A102" t="str">
            <v>M607</v>
          </cell>
          <cell r="B102" t="str">
            <v>ÓLEO DE LINHAÇA</v>
          </cell>
          <cell r="C102" t="str">
            <v>l</v>
          </cell>
        </row>
        <row r="103">
          <cell r="A103" t="str">
            <v>M609</v>
          </cell>
          <cell r="B103" t="str">
            <v>TINTA ESMALTE SINTÉTICO SEMI-FOSCO</v>
          </cell>
          <cell r="C103" t="str">
            <v>l</v>
          </cell>
        </row>
        <row r="105">
          <cell r="A105" t="str">
            <v>M611</v>
          </cell>
          <cell r="B105" t="str">
            <v>REDUTOR TIPO 2002 PRIM. QUALIDADE</v>
          </cell>
          <cell r="C105" t="str">
            <v>l</v>
          </cell>
        </row>
        <row r="106">
          <cell r="A106" t="str">
            <v>M613</v>
          </cell>
          <cell r="B106" t="str">
            <v>TINTA A BASE DE RESINA ALQUÍDICA</v>
          </cell>
          <cell r="C106" t="str">
            <v>l</v>
          </cell>
        </row>
        <row r="107">
          <cell r="A107" t="str">
            <v>M615</v>
          </cell>
          <cell r="B107" t="str">
            <v>MICROESFERAS PRE-MIX</v>
          </cell>
          <cell r="C107" t="str">
            <v>kg</v>
          </cell>
        </row>
        <row r="108">
          <cell r="A108" t="str">
            <v>M616</v>
          </cell>
          <cell r="B108" t="str">
            <v>MICROESFERAS DROP-ON</v>
          </cell>
          <cell r="C108" t="str">
            <v>kg</v>
          </cell>
        </row>
        <row r="109">
          <cell r="A109" t="str">
            <v>M618</v>
          </cell>
          <cell r="B109" t="str">
            <v>MASSA TERMOPLÁSTICA PARA ASPERSÃO</v>
          </cell>
          <cell r="C109" t="str">
            <v>kg</v>
          </cell>
        </row>
        <row r="110">
          <cell r="A110" t="str">
            <v>M619</v>
          </cell>
          <cell r="B110" t="str">
            <v>COLA POLIESTER</v>
          </cell>
          <cell r="C110" t="str">
            <v>kg</v>
          </cell>
        </row>
        <row r="111">
          <cell r="A111" t="str">
            <v>M621</v>
          </cell>
          <cell r="B111" t="str">
            <v>DESMOLDANTE</v>
          </cell>
          <cell r="C111" t="str">
            <v>l</v>
          </cell>
        </row>
        <row r="112">
          <cell r="A112" t="str">
            <v>M622</v>
          </cell>
          <cell r="B112" t="str">
            <v>INTERPLAST N</v>
          </cell>
          <cell r="C112" t="str">
            <v>kg</v>
          </cell>
          <cell r="D112">
            <v>4.25</v>
          </cell>
        </row>
        <row r="113">
          <cell r="A113" t="str">
            <v>M624</v>
          </cell>
          <cell r="B113" t="str">
            <v>TINTA PARA PRÉ-MARCAÇÃO</v>
          </cell>
          <cell r="C113" t="str">
            <v>l</v>
          </cell>
          <cell r="D113">
            <v>12.08</v>
          </cell>
        </row>
        <row r="114">
          <cell r="A114" t="str">
            <v>M625</v>
          </cell>
          <cell r="B114" t="str">
            <v>ACETILENO</v>
          </cell>
          <cell r="C114" t="str">
            <v>kg</v>
          </cell>
          <cell r="D114">
            <v>23.33</v>
          </cell>
        </row>
        <row r="115">
          <cell r="A115" t="str">
            <v>M702</v>
          </cell>
          <cell r="B115" t="str">
            <v>CAL HIDRATADA</v>
          </cell>
          <cell r="C115" t="str">
            <v>kg</v>
          </cell>
        </row>
        <row r="116">
          <cell r="A116" t="str">
            <v>M703</v>
          </cell>
          <cell r="B116" t="str">
            <v>TIJOLO 20 x 30 cm</v>
          </cell>
          <cell r="C116" t="str">
            <v>ud</v>
          </cell>
        </row>
        <row r="117">
          <cell r="A117" t="str">
            <v>M704</v>
          </cell>
          <cell r="B117" t="str">
            <v>AREIA LAVADA</v>
          </cell>
          <cell r="C117" t="str">
            <v>m3</v>
          </cell>
          <cell r="D117">
            <v>30</v>
          </cell>
        </row>
        <row r="118">
          <cell r="A118" t="str">
            <v>M705</v>
          </cell>
          <cell r="B118" t="str">
            <v>PÓ DE PEDRA</v>
          </cell>
          <cell r="C118" t="str">
            <v>m3</v>
          </cell>
        </row>
        <row r="119">
          <cell r="A119" t="str">
            <v>M709</v>
          </cell>
          <cell r="B119" t="str">
            <v>BRITA CORRIDA</v>
          </cell>
          <cell r="C119" t="str">
            <v>m3</v>
          </cell>
        </row>
        <row r="120">
          <cell r="A120" t="str">
            <v>M710</v>
          </cell>
          <cell r="B120" t="str">
            <v>PEDRA DE MÃO</v>
          </cell>
          <cell r="C120" t="str">
            <v>m3</v>
          </cell>
        </row>
        <row r="121">
          <cell r="A121" t="str">
            <v>M715</v>
          </cell>
          <cell r="B121" t="str">
            <v>PÓ CALCÁRIO DOLOMÍTICO</v>
          </cell>
          <cell r="C121" t="str">
            <v>kg</v>
          </cell>
        </row>
        <row r="123">
          <cell r="A123" t="str">
            <v>M901</v>
          </cell>
          <cell r="B123" t="str">
            <v>APARELHO DE APOIO NEOPRENE FRETADO</v>
          </cell>
          <cell r="C123" t="str">
            <v>dm3</v>
          </cell>
          <cell r="D123">
            <v>72</v>
          </cell>
        </row>
        <row r="124">
          <cell r="A124" t="str">
            <v>M902</v>
          </cell>
          <cell r="B124" t="str">
            <v>TUBO DE PVC D=75 mm</v>
          </cell>
          <cell r="C124" t="str">
            <v>m</v>
          </cell>
        </row>
        <row r="125">
          <cell r="A125" t="str">
            <v>M904</v>
          </cell>
          <cell r="B125" t="str">
            <v>GEOTÊXTIL TECIDO NÃO AGULHADO TRI300</v>
          </cell>
          <cell r="C125" t="str">
            <v>m2</v>
          </cell>
        </row>
        <row r="126">
          <cell r="A126" t="str">
            <v>M905</v>
          </cell>
          <cell r="B126" t="str">
            <v>FILLER</v>
          </cell>
          <cell r="C126" t="str">
            <v>kg</v>
          </cell>
        </row>
        <row r="127">
          <cell r="A127" t="str">
            <v>M906</v>
          </cell>
          <cell r="B127" t="str">
            <v>SEMENTES P/ HIDROSSEMEADURA</v>
          </cell>
          <cell r="C127" t="str">
            <v>kg</v>
          </cell>
        </row>
        <row r="128">
          <cell r="A128" t="str">
            <v>M907</v>
          </cell>
          <cell r="B128" t="str">
            <v>ADUBO ORGÂNICO</v>
          </cell>
          <cell r="C128" t="str">
            <v>kg</v>
          </cell>
        </row>
        <row r="129">
          <cell r="A129" t="str">
            <v>M908</v>
          </cell>
          <cell r="B129" t="str">
            <v>ELETRODO PARA SOLDA ELÉTRICA OK 46.00</v>
          </cell>
          <cell r="C129" t="str">
            <v>kg</v>
          </cell>
          <cell r="D129">
            <v>8.84</v>
          </cell>
        </row>
        <row r="130">
          <cell r="A130" t="str">
            <v>M910</v>
          </cell>
          <cell r="B130" t="str">
            <v>TUBO DE PVC RÍGIDO D=50 mm</v>
          </cell>
          <cell r="C130" t="str">
            <v>m</v>
          </cell>
        </row>
        <row r="131">
          <cell r="A131" t="str">
            <v>M911</v>
          </cell>
          <cell r="B131" t="str">
            <v>TUBO DE PVC D = 100 mm</v>
          </cell>
          <cell r="C131" t="str">
            <v>m</v>
          </cell>
          <cell r="D131">
            <v>5.92</v>
          </cell>
        </row>
        <row r="132">
          <cell r="A132" t="str">
            <v>M924</v>
          </cell>
          <cell r="B132" t="str">
            <v>GABIÃO CAIXA 2X1X0,5m ZN/AL + PVC</v>
          </cell>
          <cell r="C132" t="str">
            <v>ud</v>
          </cell>
        </row>
        <row r="133">
          <cell r="A133" t="str">
            <v>M926</v>
          </cell>
          <cell r="B133" t="str">
            <v>GABIÃO COLCHÃOZN/AL + PVC 4X2X0,23m</v>
          </cell>
          <cell r="C133" t="str">
            <v>ud</v>
          </cell>
        </row>
        <row r="134">
          <cell r="A134" t="str">
            <v>M927</v>
          </cell>
          <cell r="B134" t="str">
            <v>GABIÃO COLCHÃOZN/AL + PVC 4X2X0,30m</v>
          </cell>
          <cell r="C134" t="str">
            <v>ud</v>
          </cell>
        </row>
        <row r="135">
          <cell r="A135" t="str">
            <v>M935</v>
          </cell>
          <cell r="B135" t="str">
            <v>TERRA ARMADA ECE - GREIDE 0&lt;H&lt;6M</v>
          </cell>
          <cell r="C135" t="str">
            <v>m2</v>
          </cell>
          <cell r="D135">
            <v>294</v>
          </cell>
        </row>
        <row r="136">
          <cell r="A136" t="str">
            <v>M936</v>
          </cell>
          <cell r="B136" t="str">
            <v>TERRA ARMADA ECE - GREIDE 6&lt;H&lt;9M</v>
          </cell>
          <cell r="C136" t="str">
            <v>m2</v>
          </cell>
          <cell r="D136">
            <v>356</v>
          </cell>
        </row>
        <row r="137">
          <cell r="A137" t="str">
            <v>M937</v>
          </cell>
          <cell r="B137" t="str">
            <v>TERRA ARMADA ECE - GREIDE 9&lt;H&lt;12M</v>
          </cell>
          <cell r="C137" t="str">
            <v>m2</v>
          </cell>
          <cell r="D137">
            <v>542</v>
          </cell>
        </row>
        <row r="138">
          <cell r="A138" t="str">
            <v>M938</v>
          </cell>
          <cell r="B138" t="str">
            <v>TERRA ARMADA ECE - PÉ DE TALUDE 0&lt;H&lt;6M</v>
          </cell>
          <cell r="C138" t="str">
            <v>m2</v>
          </cell>
        </row>
        <row r="139">
          <cell r="A139" t="str">
            <v>M945</v>
          </cell>
          <cell r="B139" t="str">
            <v>HASTE PARA PERFURATRIZ DE ESTEIRA</v>
          </cell>
          <cell r="C139" t="str">
            <v>ud</v>
          </cell>
        </row>
        <row r="140">
          <cell r="A140" t="str">
            <v>M946</v>
          </cell>
          <cell r="B140" t="str">
            <v>LUVA PARA PERFURATRIZ DE ESTEIRA</v>
          </cell>
          <cell r="C140" t="str">
            <v>ud</v>
          </cell>
        </row>
        <row r="141">
          <cell r="A141" t="str">
            <v>M947</v>
          </cell>
          <cell r="B141" t="str">
            <v>PUNHO PARA PERFURATRIZ DE ESTEIRA</v>
          </cell>
          <cell r="C141" t="str">
            <v>ud</v>
          </cell>
        </row>
        <row r="142">
          <cell r="A142" t="str">
            <v>M948</v>
          </cell>
          <cell r="B142" t="str">
            <v>COROA PARA PERFURATRIZ DE ESTEIRA</v>
          </cell>
          <cell r="C142" t="str">
            <v>ud</v>
          </cell>
        </row>
        <row r="143">
          <cell r="A143" t="str">
            <v>M960</v>
          </cell>
          <cell r="B143" t="str">
            <v>FIO DE NYLON N. 040</v>
          </cell>
          <cell r="C143" t="str">
            <v>m</v>
          </cell>
        </row>
        <row r="144">
          <cell r="A144" t="str">
            <v>M970</v>
          </cell>
          <cell r="B144" t="str">
            <v>PELÍCULA REFLETIVA LENTES INCLUSAS</v>
          </cell>
          <cell r="C144" t="str">
            <v>m2</v>
          </cell>
        </row>
        <row r="145">
          <cell r="A145" t="str">
            <v>M972</v>
          </cell>
          <cell r="B145" t="str">
            <v>TACHA REFLETIVA MONODIRECIONAL</v>
          </cell>
          <cell r="C145" t="str">
            <v>ud</v>
          </cell>
        </row>
        <row r="146">
          <cell r="A146" t="str">
            <v>M973</v>
          </cell>
          <cell r="B146" t="str">
            <v>TACHA REFLETIVA BIDIRECIONAL</v>
          </cell>
          <cell r="C146" t="str">
            <v>ud</v>
          </cell>
        </row>
        <row r="147">
          <cell r="A147" t="str">
            <v>M975</v>
          </cell>
          <cell r="B147" t="str">
            <v>TACHÃO REFLETIVO BIDIRECIONAL</v>
          </cell>
          <cell r="C147" t="str">
            <v>ud</v>
          </cell>
        </row>
        <row r="148">
          <cell r="A148" t="str">
            <v>M980</v>
          </cell>
          <cell r="B148" t="str">
            <v>INDENIZAÇÃO DE JAZIDA</v>
          </cell>
          <cell r="C148" t="str">
            <v>m3</v>
          </cell>
        </row>
        <row r="149">
          <cell r="A149" t="str">
            <v>M982</v>
          </cell>
          <cell r="B149" t="str">
            <v>ISOPOR DE 5 cm DE ESPESSURA</v>
          </cell>
          <cell r="C149" t="str">
            <v>m2</v>
          </cell>
          <cell r="D149">
            <v>12</v>
          </cell>
        </row>
        <row r="150">
          <cell r="A150" t="str">
            <v>M983</v>
          </cell>
          <cell r="B150" t="str">
            <v>DISCO DIAMANTADO P/ MÁQUINA DE DISCO 6 KW</v>
          </cell>
          <cell r="C150" t="str">
            <v>ud</v>
          </cell>
          <cell r="D150">
            <v>350</v>
          </cell>
        </row>
        <row r="151">
          <cell r="A151" t="str">
            <v>M985</v>
          </cell>
          <cell r="B151" t="str">
            <v>TUBO PLÁSTICO PARA PURGADORES</v>
          </cell>
          <cell r="C151" t="str">
            <v>m</v>
          </cell>
          <cell r="D151">
            <v>1.5</v>
          </cell>
        </row>
        <row r="153">
          <cell r="A153" t="str">
            <v>C1</v>
          </cell>
          <cell r="B153" t="str">
            <v>COMPORTA PARA CANAL ABERTO</v>
          </cell>
          <cell r="C153" t="str">
            <v>ud</v>
          </cell>
        </row>
        <row r="154">
          <cell r="A154" t="str">
            <v>C2</v>
          </cell>
          <cell r="B154" t="str">
            <v>MUDA NATIVA</v>
          </cell>
          <cell r="C154" t="str">
            <v>ud</v>
          </cell>
        </row>
        <row r="155">
          <cell r="A155" t="str">
            <v>C3</v>
          </cell>
          <cell r="B155" t="str">
            <v>TELA DE FIO Nº 12 - MALHA  2" X 2"</v>
          </cell>
          <cell r="C155" t="str">
            <v>m2</v>
          </cell>
        </row>
        <row r="156">
          <cell r="A156" t="str">
            <v>C4</v>
          </cell>
          <cell r="B156" t="str">
            <v>ARAME GALVANIZADO Nº 12 P/ SUSTENTAÇÃO DA TELA</v>
          </cell>
          <cell r="C156" t="str">
            <v>kg</v>
          </cell>
        </row>
        <row r="157">
          <cell r="A157" t="str">
            <v>C5</v>
          </cell>
          <cell r="B157" t="str">
            <v>ARAME GALVANIZADO Nº 16 P/ AMARRAÇÃO DA TELA</v>
          </cell>
          <cell r="C157" t="str">
            <v>kg</v>
          </cell>
        </row>
        <row r="158">
          <cell r="A158" t="str">
            <v>C6</v>
          </cell>
          <cell r="B158" t="str">
            <v>MULTIDREN TD-20S OU SIMILAR</v>
          </cell>
          <cell r="C158" t="str">
            <v>m2</v>
          </cell>
        </row>
        <row r="159">
          <cell r="A159" t="str">
            <v>C7</v>
          </cell>
          <cell r="B159" t="str">
            <v>MANTA GEOTÊXTIL BIDIM RT-10 OU SIMILAR</v>
          </cell>
          <cell r="C159" t="str">
            <v>m2</v>
          </cell>
        </row>
        <row r="160">
          <cell r="A160" t="str">
            <v>C8</v>
          </cell>
          <cell r="B160" t="str">
            <v>TUBO DRENO PEAD FLEXÍVEL 8"</v>
          </cell>
          <cell r="C160" t="str">
            <v>m</v>
          </cell>
        </row>
      </sheetData>
      <sheetData sheetId="3">
        <row r="1">
          <cell r="A1" t="str">
            <v>CUSTO HORÁRIO DE EQUIPAMENTOS -MARÇO/2011</v>
          </cell>
        </row>
        <row r="2">
          <cell r="A2" t="str">
            <v>CÓDIGO</v>
          </cell>
          <cell r="B2" t="str">
            <v>DESCRIÇÃO</v>
          </cell>
          <cell r="C2" t="str">
            <v>C.PRODUTIVO</v>
          </cell>
          <cell r="D2" t="str">
            <v>C.IMPROD.</v>
          </cell>
        </row>
        <row r="3">
          <cell r="A3" t="str">
            <v>E001</v>
          </cell>
          <cell r="B3" t="str">
            <v>TRATOR DE ESTEIRAS: NEW HOLLAND  7D - COM LÂMINA</v>
          </cell>
          <cell r="D3">
            <v>19.621200000000002</v>
          </cell>
        </row>
        <row r="4">
          <cell r="A4" t="str">
            <v>E002</v>
          </cell>
          <cell r="B4" t="str">
            <v>TRATOR DE ESTEIRAS: CATERPILLAR: D6M - C/ LÂMINA</v>
          </cell>
          <cell r="D4">
            <v>19.621200000000002</v>
          </cell>
        </row>
        <row r="5">
          <cell r="A5" t="str">
            <v>E003</v>
          </cell>
          <cell r="B5" t="str">
            <v>TRATOR DE ESTEIRAS: CATERPILLAR:  D8T - C/ LÂMINA</v>
          </cell>
          <cell r="D5">
            <v>19.621200000000002</v>
          </cell>
        </row>
        <row r="6">
          <cell r="A6" t="str">
            <v>E005</v>
          </cell>
          <cell r="B6" t="str">
            <v>MOTOSCRAPER: CATERPILLAR: 621G</v>
          </cell>
          <cell r="D6">
            <v>19.621200000000002</v>
          </cell>
        </row>
        <row r="7">
          <cell r="A7" t="str">
            <v>E006</v>
          </cell>
          <cell r="B7" t="str">
            <v>MOTONIVELADORA: CATERPILLAR: 120M</v>
          </cell>
          <cell r="D7">
            <v>19.621200000000002</v>
          </cell>
        </row>
        <row r="8">
          <cell r="A8" t="str">
            <v>E007</v>
          </cell>
          <cell r="B8" t="str">
            <v>TRATOR AGRÍCOLA: MASSEY FERGUSON: MF 4291/4 449A</v>
          </cell>
          <cell r="D8">
            <v>15.1364</v>
          </cell>
        </row>
        <row r="9">
          <cell r="A9" t="str">
            <v>E009</v>
          </cell>
          <cell r="B9" t="str">
            <v>CARREGADEIRA DE PNEUS: CATERPILLAR: 924G - 1,80 m3</v>
          </cell>
          <cell r="C9">
            <v>115.38120000000001</v>
          </cell>
          <cell r="D9">
            <v>19.621200000000002</v>
          </cell>
        </row>
        <row r="10">
          <cell r="A10" t="str">
            <v>E010</v>
          </cell>
          <cell r="B10" t="str">
            <v>CARREGADEIRA DE PNEUS: CATERPILLAR: 950H - 3,3 m3</v>
          </cell>
          <cell r="D10">
            <v>19.621200000000002</v>
          </cell>
        </row>
        <row r="11">
          <cell r="A11" t="str">
            <v>E011</v>
          </cell>
          <cell r="B11" t="str">
            <v>RETROESCAVADEIRA: MASSEY FERGUSON: MF-86HS - DE PNEUS</v>
          </cell>
          <cell r="D11">
            <v>19.621200000000002</v>
          </cell>
        </row>
        <row r="12">
          <cell r="A12" t="str">
            <v>E013</v>
          </cell>
          <cell r="B12" t="str">
            <v>ROLO COMPAC.: DYNAPAC: CA-250-P - PÉ DE CARNEIRO AUTOP. 11,25 t VIBR</v>
          </cell>
          <cell r="D12">
            <v>15.1364</v>
          </cell>
        </row>
        <row r="13">
          <cell r="A13" t="str">
            <v>E014</v>
          </cell>
          <cell r="B13" t="str">
            <v>TRATOR DE ESTEIRAS: CATERPILLAR: D8T - C/ ESCARIFICADOR</v>
          </cell>
          <cell r="D13">
            <v>19.621200000000002</v>
          </cell>
        </row>
        <row r="14">
          <cell r="A14" t="str">
            <v>E016</v>
          </cell>
          <cell r="B14" t="str">
            <v>CARREGADEIRA DE PNEUS: CASE: W-20 E - 1,91 m3</v>
          </cell>
          <cell r="D14">
            <v>19.621200000000002</v>
          </cell>
        </row>
        <row r="15">
          <cell r="A15" t="str">
            <v>E062</v>
          </cell>
          <cell r="B15" t="str">
            <v>ESCAVADEIRA HIDRÁULICA: CATERPILLAR: 336DL - C/ ESTEIRA</v>
          </cell>
          <cell r="D15">
            <v>20.7425</v>
          </cell>
        </row>
        <row r="16">
          <cell r="A16" t="str">
            <v>E063</v>
          </cell>
          <cell r="B16" t="str">
            <v>ESCAV. HIDRÁUL.: CATERPILLAR: 320DL - C/ EST. - CAP 600 L P/ LONGO ALCANCE</v>
          </cell>
          <cell r="D16">
            <v>20.7425</v>
          </cell>
        </row>
        <row r="18">
          <cell r="A18" t="str">
            <v>E101</v>
          </cell>
          <cell r="B18" t="str">
            <v>GRADE DE DISCOS: MARCHESAN: GA 24 x 24</v>
          </cell>
          <cell r="D18">
            <v>0</v>
          </cell>
        </row>
        <row r="19">
          <cell r="A19" t="str">
            <v>E102</v>
          </cell>
          <cell r="B19" t="str">
            <v>ROLO COMPAC.: DYNAPAC: CC-424HF - TANDEN VIBRAT. AUTOPROP 10,2 t</v>
          </cell>
          <cell r="D19">
            <v>15.1364</v>
          </cell>
        </row>
        <row r="20">
          <cell r="A20" t="str">
            <v>E105</v>
          </cell>
          <cell r="B20" t="str">
            <v>ROLO COMPAC.: CATERPILLAR: PS-360 C - DE PNEUS AUTOPROP. 25 t</v>
          </cell>
          <cell r="D20">
            <v>15.1364</v>
          </cell>
        </row>
        <row r="21">
          <cell r="A21" t="str">
            <v>E106</v>
          </cell>
          <cell r="B21" t="str">
            <v>USINA MISTURADORA: CIFALI:  DE SOLOS 300 t/h</v>
          </cell>
          <cell r="D21">
            <v>20.7425</v>
          </cell>
        </row>
        <row r="22">
          <cell r="A22" t="str">
            <v>E107</v>
          </cell>
          <cell r="B22" t="str">
            <v>VASSOURA MECÂNICA: CMV: VM2440 - REBOCÁVEL</v>
          </cell>
          <cell r="D22">
            <v>0</v>
          </cell>
        </row>
        <row r="23">
          <cell r="A23" t="str">
            <v>E108</v>
          </cell>
          <cell r="B23" t="str">
            <v>DISTRIBUIDOR DE AGREGADOS: CMV: - REBOCÁVEL</v>
          </cell>
          <cell r="D23">
            <v>0</v>
          </cell>
        </row>
        <row r="24">
          <cell r="A24" t="str">
            <v>E109</v>
          </cell>
          <cell r="B24" t="str">
            <v>DISTRIBUIDOR DE AGREGADOS: ROMANELLI: DAR-5000 AUTOPROP</v>
          </cell>
          <cell r="D24">
            <v>19.621200000000002</v>
          </cell>
        </row>
        <row r="25">
          <cell r="A25" t="str">
            <v>E110</v>
          </cell>
          <cell r="B25" t="str">
            <v>TANQUE ESTOCAGEM ASFALTO: CIFALI: - 30.000 l</v>
          </cell>
          <cell r="D25">
            <v>0</v>
          </cell>
        </row>
        <row r="26">
          <cell r="A26" t="str">
            <v>E111</v>
          </cell>
          <cell r="B26" t="str">
            <v>EQUIP. DISTRIB. DE ASFALTO: FERLEX - MONTADO EM CAM</v>
          </cell>
          <cell r="D26">
            <v>17.939399999999999</v>
          </cell>
        </row>
        <row r="27">
          <cell r="A27" t="str">
            <v>E112</v>
          </cell>
          <cell r="B27" t="str">
            <v>AQUECEDOR DE FLUIDO TÉRMICO: TENGE: TH III</v>
          </cell>
          <cell r="D27">
            <v>0</v>
          </cell>
        </row>
        <row r="28">
          <cell r="A28" t="str">
            <v>E113</v>
          </cell>
          <cell r="B28" t="str">
            <v>USINA DE ASFALTO A QUENTE: CIFALI: DMC-2 - 40/60 t/h</v>
          </cell>
          <cell r="D28">
            <v>20.7425</v>
          </cell>
        </row>
        <row r="29">
          <cell r="A29" t="str">
            <v>E114</v>
          </cell>
          <cell r="B29" t="str">
            <v>VIBROACABADORA DE ASFALTO: CIFALI: VDA-421 - SOBRE PNEUS</v>
          </cell>
          <cell r="D29">
            <v>20.7425</v>
          </cell>
        </row>
        <row r="30">
          <cell r="A30" t="str">
            <v>E115</v>
          </cell>
          <cell r="B30" t="str">
            <v>USINA MISTURADORA: TEREX: UPM F 60 - PRÉ MIST. A FRIO 60 t/h</v>
          </cell>
          <cell r="D30">
            <v>20.7425</v>
          </cell>
        </row>
        <row r="31">
          <cell r="A31" t="str">
            <v>E124</v>
          </cell>
          <cell r="B31" t="str">
            <v>USINA DE ASFALTO A QUENTE: CIFALI: - GRAVIM 100/140 t/h</v>
          </cell>
          <cell r="D31">
            <v>20.7425</v>
          </cell>
        </row>
        <row r="32">
          <cell r="A32" t="str">
            <v>E127</v>
          </cell>
        </row>
        <row r="33">
          <cell r="A33" t="str">
            <v>E129</v>
          </cell>
          <cell r="B33" t="str">
            <v>RECICLADORA DE PAVIMENTO: WIRTGEN: WR 2500 S - A FRIO</v>
          </cell>
          <cell r="D33">
            <v>20.7425</v>
          </cell>
        </row>
        <row r="34">
          <cell r="A34" t="str">
            <v>E138</v>
          </cell>
          <cell r="B34" t="str">
            <v>ESTABILIZADOR/RECICLADORA A FRIO: CATERPILLAR: RM-500</v>
          </cell>
          <cell r="D34">
            <v>20.7425</v>
          </cell>
        </row>
        <row r="35">
          <cell r="A35" t="str">
            <v>E139</v>
          </cell>
          <cell r="B35" t="str">
            <v>ROLO COMPACTADOR: DYNAPAC: CA250 - LISO AUTOPROP. VIBRAT.</v>
          </cell>
          <cell r="D35">
            <v>15.1364</v>
          </cell>
        </row>
        <row r="36">
          <cell r="A36" t="str">
            <v>E147</v>
          </cell>
          <cell r="B36" t="str">
            <v>USINA DE ASFALTO A QUENTE: CIFALI: CIFALI MAGNUM 120 - 90/120 t/h C/ FILTRO DE MANGA</v>
          </cell>
          <cell r="D36">
            <v>20.7425</v>
          </cell>
        </row>
        <row r="37">
          <cell r="A37" t="str">
            <v>E149</v>
          </cell>
          <cell r="B37" t="str">
            <v>VIBROACABADORA DE ASF.: TEREX: TEREX VDA-600 - SOBRE EST.</v>
          </cell>
          <cell r="D37">
            <v>20.7425</v>
          </cell>
        </row>
        <row r="38">
          <cell r="A38" t="str">
            <v>E156</v>
          </cell>
        </row>
        <row r="40">
          <cell r="A40" t="str">
            <v>E201</v>
          </cell>
          <cell r="B40" t="str">
            <v>COMPRESSOR DE AR: ATLAS COPCO: XAHS 157Pd - 295 PCM</v>
          </cell>
          <cell r="D40">
            <v>15.1364</v>
          </cell>
        </row>
        <row r="41">
          <cell r="A41" t="str">
            <v>E202</v>
          </cell>
          <cell r="B41" t="str">
            <v>COMPRESSOR DE AR: ATLAS COPCO: XAS 187Pd - 400 PCM</v>
          </cell>
          <cell r="D41">
            <v>15.1364</v>
          </cell>
        </row>
        <row r="42">
          <cell r="A42" t="str">
            <v>E203</v>
          </cell>
          <cell r="B42" t="str">
            <v>COMPRESSOR DE AR: ATLAS COPCO: XAS 360 CUD - 762 PCM</v>
          </cell>
          <cell r="D42">
            <v>15.1364</v>
          </cell>
        </row>
        <row r="43">
          <cell r="A43" t="str">
            <v>E204</v>
          </cell>
          <cell r="B43" t="str">
            <v>MARTELETE: ATLAS COPCO: RH658-6L - PERFURATRIZ MANUAL</v>
          </cell>
          <cell r="D43">
            <v>13.454599999999999</v>
          </cell>
        </row>
        <row r="44">
          <cell r="A44" t="str">
            <v>E205</v>
          </cell>
          <cell r="B44" t="str">
            <v>PERFURATRIZ SOBRE ESTEIRAS: ATLAS COPCO: ROC 442PC - Crawler Drill</v>
          </cell>
          <cell r="C44">
            <v>68.303100000000001</v>
          </cell>
          <cell r="D44">
            <v>15.1364</v>
          </cell>
        </row>
        <row r="45">
          <cell r="A45" t="str">
            <v>E206</v>
          </cell>
          <cell r="B45" t="str">
            <v>CONJUNTO DE BRITAGEM: FAÇO: L-150A 30 M3/H</v>
          </cell>
          <cell r="D45">
            <v>19.621200000000002</v>
          </cell>
        </row>
        <row r="46">
          <cell r="A46" t="str">
            <v>E208</v>
          </cell>
          <cell r="B46" t="str">
            <v>COMPRESSOR DE AR: ATLAS COPCO: XAHS 107Pd - 200 PCM</v>
          </cell>
          <cell r="D46">
            <v>15.1364</v>
          </cell>
        </row>
        <row r="47">
          <cell r="A47" t="str">
            <v>E209</v>
          </cell>
          <cell r="B47" t="str">
            <v>MARTELETE: ATLAS COPCO: TEX270 PS - ROMPEDOR 28 KG</v>
          </cell>
          <cell r="D47">
            <v>13.454599999999999</v>
          </cell>
        </row>
        <row r="48">
          <cell r="A48" t="str">
            <v>E210</v>
          </cell>
          <cell r="B48" t="str">
            <v>MARTELETE: ATLAS COPCO: TEX32 PS - ROMPEDOR 33 KG</v>
          </cell>
          <cell r="D48">
            <v>13.454599999999999</v>
          </cell>
        </row>
        <row r="49">
          <cell r="A49" t="str">
            <v>E211</v>
          </cell>
          <cell r="B49" t="str">
            <v>MÁQ. P/ PINTURA: SHULZ: CSL 10/100 L - COMPRES. DE AR P/ PINTURA C/ FILTRO</v>
          </cell>
          <cell r="D49">
            <v>0</v>
          </cell>
        </row>
        <row r="50">
          <cell r="A50" t="str">
            <v>E223</v>
          </cell>
          <cell r="B50" t="str">
            <v>COMPRESSOR DE AR: ATLAS COPCO: XATS 167Pd - 360 PCM</v>
          </cell>
          <cell r="D50">
            <v>15.1364</v>
          </cell>
        </row>
        <row r="51">
          <cell r="A51" t="str">
            <v>E225</v>
          </cell>
          <cell r="B51" t="str">
            <v>CONJUNTO DE BRITAGEM: METSO SVEDALA: C96/HP-200 - 80 M3/H</v>
          </cell>
          <cell r="D51">
            <v>19.621200000000002</v>
          </cell>
        </row>
        <row r="52">
          <cell r="A52" t="str">
            <v>E226</v>
          </cell>
          <cell r="B52" t="str">
            <v>CONJUNTO DE BRITAGEM - P/ RACHÃO: METSO SVEDALA: DS-96 - 80 M3/H</v>
          </cell>
          <cell r="D52">
            <v>19.621200000000002</v>
          </cell>
        </row>
        <row r="54">
          <cell r="A54" t="str">
            <v>E301</v>
          </cell>
          <cell r="B54" t="str">
            <v>BETONEIRA: PENEDO: 400 l</v>
          </cell>
          <cell r="C54">
            <v>19.312100000000001</v>
          </cell>
          <cell r="D54">
            <v>15.1364</v>
          </cell>
        </row>
        <row r="55">
          <cell r="A55" t="str">
            <v>E302</v>
          </cell>
          <cell r="B55" t="str">
            <v>BETONEIRA: PENEDO: 400 l</v>
          </cell>
          <cell r="D55">
            <v>15.1364</v>
          </cell>
        </row>
        <row r="56">
          <cell r="A56" t="str">
            <v>E303</v>
          </cell>
          <cell r="B56" t="str">
            <v>BETONEIRA: ALFA: 750 l</v>
          </cell>
          <cell r="D56">
            <v>15.1364</v>
          </cell>
        </row>
        <row r="57">
          <cell r="A57" t="str">
            <v>E304</v>
          </cell>
          <cell r="B57" t="str">
            <v>TRANSPORTADOR MANUAL: AJS: - CARRINHO DE MÃO 80 l</v>
          </cell>
          <cell r="C57">
            <v>0.12909999999999999</v>
          </cell>
          <cell r="D57">
            <v>0</v>
          </cell>
        </row>
        <row r="58">
          <cell r="A58" t="str">
            <v>E305</v>
          </cell>
          <cell r="B58" t="str">
            <v>TRANSPORTADOR MANUAL: AJS: A-15 - GERICA 180 l</v>
          </cell>
          <cell r="D58">
            <v>0</v>
          </cell>
        </row>
        <row r="59">
          <cell r="A59" t="str">
            <v>E306</v>
          </cell>
          <cell r="B59" t="str">
            <v>VIBRADOR DE CONCRETO: DIVERSOS: VIP-MT2 - DE IMERSÃO</v>
          </cell>
          <cell r="D59">
            <v>13.454599999999999</v>
          </cell>
        </row>
        <row r="60">
          <cell r="A60" t="str">
            <v>E307</v>
          </cell>
          <cell r="B60" t="str">
            <v>FAB. PRÉ-MOLDADO CONCRETO: SERVIMAQ: - TUBOS D = 0,20 m M/F</v>
          </cell>
          <cell r="D60">
            <v>0</v>
          </cell>
        </row>
        <row r="61">
          <cell r="A61" t="str">
            <v>E308</v>
          </cell>
          <cell r="B61" t="str">
            <v>FAB. PRÉ-MOLDADO CONCRETO: SERVIMAQ: - TUBOS D = 0,30 m MF</v>
          </cell>
          <cell r="D61">
            <v>0</v>
          </cell>
        </row>
        <row r="62">
          <cell r="A62" t="str">
            <v>E309</v>
          </cell>
          <cell r="B62" t="str">
            <v>FAB. PRÉ-MOLDADO CONCRETO: SERVIMAQ: - TUBOS D = 0,40 m MF</v>
          </cell>
          <cell r="D62">
            <v>0</v>
          </cell>
        </row>
        <row r="63">
          <cell r="A63" t="str">
            <v>E310</v>
          </cell>
          <cell r="B63" t="str">
            <v>FAB. PRÉ-MOLDADO CONCRETO: SERVIMAQ: - TUBOS D = 0,60 m MF</v>
          </cell>
          <cell r="D63">
            <v>0</v>
          </cell>
        </row>
        <row r="64">
          <cell r="A64" t="str">
            <v>E311</v>
          </cell>
          <cell r="B64" t="str">
            <v>FAB. PRÉ-MOLDADO CONCRETO: SERVIMAQ: - TUBOS D = 0,80 m MF</v>
          </cell>
          <cell r="D64">
            <v>0</v>
          </cell>
        </row>
        <row r="65">
          <cell r="A65" t="str">
            <v>E312</v>
          </cell>
          <cell r="B65" t="str">
            <v>FAB. PRÉ-MOLDADO CONCRETO: SERVIMAQ: - TUBOS D = 1,00 m MF</v>
          </cell>
          <cell r="D65">
            <v>0</v>
          </cell>
        </row>
        <row r="66">
          <cell r="A66" t="str">
            <v>E313</v>
          </cell>
          <cell r="B66" t="str">
            <v>FAB. PRÉ-MOLDADO CONCRETO: SERVIMAQ: - TUBOS D = 1,20 m MF</v>
          </cell>
          <cell r="D66">
            <v>0</v>
          </cell>
        </row>
        <row r="67">
          <cell r="A67" t="str">
            <v>E314</v>
          </cell>
          <cell r="B67" t="str">
            <v>FAB. PRÉ-MOLDADO CONCRETO: SERVIMAQ: - TUBOS D = 1,50 m MF</v>
          </cell>
          <cell r="D67">
            <v>0</v>
          </cell>
        </row>
        <row r="68">
          <cell r="A68" t="str">
            <v>E316</v>
          </cell>
          <cell r="B68" t="str">
            <v>FAB. PRÉ-MOLDADO CONCRETO: SERVIMAQ: - INST. COMPL. - MOURÃO</v>
          </cell>
          <cell r="D68">
            <v>0</v>
          </cell>
        </row>
        <row r="69">
          <cell r="A69" t="str">
            <v>E317</v>
          </cell>
          <cell r="B69" t="str">
            <v>FAB. PRÉ-MOLDADO CONCRETO: SERVIMAQ: - INST. COMPL. - BALIZADOR</v>
          </cell>
          <cell r="D69">
            <v>0</v>
          </cell>
        </row>
        <row r="70">
          <cell r="A70" t="str">
            <v>E333</v>
          </cell>
          <cell r="B70" t="str">
            <v>SERRA DE DISCO DIAMANTADO: CC3700 - P/ CONCRETO</v>
          </cell>
          <cell r="C70">
            <v>35.614600000000003</v>
          </cell>
          <cell r="D70">
            <v>13.454599999999999</v>
          </cell>
        </row>
        <row r="71">
          <cell r="A71" t="str">
            <v>E337</v>
          </cell>
          <cell r="B71" t="str">
            <v>RÉGUA VIBRATÓRIA: WEBER: RV 4 - 4,25 M</v>
          </cell>
          <cell r="C71">
            <v>16.293600000000001</v>
          </cell>
          <cell r="D71">
            <v>13.454599999999999</v>
          </cell>
        </row>
        <row r="72">
          <cell r="A72" t="str">
            <v>E338</v>
          </cell>
          <cell r="B72" t="str">
            <v>SERRA DE JUNTAS: CLIPPER: DRW CLIPPER C 13 E - P/ CONCR.</v>
          </cell>
          <cell r="C72">
            <v>22.4818</v>
          </cell>
          <cell r="D72">
            <v>13.454599999999999</v>
          </cell>
        </row>
        <row r="73">
          <cell r="A73" t="str">
            <v>E400</v>
          </cell>
          <cell r="B73" t="str">
            <v>CAMINHÃO BASCULANTE: MERCEDES BENZ: ATEGO 1518/36 - 5 m3 - 8,8 t</v>
          </cell>
          <cell r="D73">
            <v>17.939399999999999</v>
          </cell>
        </row>
        <row r="74">
          <cell r="A74" t="str">
            <v>E402</v>
          </cell>
          <cell r="B74" t="str">
            <v>CAMINHÃO CARROCERIA: MERCEDES BENZ: 2726 K - DE MADEIRA - 15 t</v>
          </cell>
          <cell r="C74">
            <v>120.4585</v>
          </cell>
          <cell r="D74">
            <v>17.939399999999999</v>
          </cell>
        </row>
        <row r="75">
          <cell r="A75" t="str">
            <v>E403</v>
          </cell>
          <cell r="B75" t="str">
            <v>CAMINHÃO BASCULANTE: MERCEDES BENZ: LK 1620 - 6 m3 - 10,5 t</v>
          </cell>
          <cell r="D75">
            <v>17.939399999999999</v>
          </cell>
        </row>
        <row r="76">
          <cell r="A76" t="str">
            <v>E404</v>
          </cell>
          <cell r="B76" t="str">
            <v>CAMINHÃO BASCULANTE: MERCEDES BENZ: - 2726 K - 10 m3 - 15 t</v>
          </cell>
          <cell r="C76">
            <v>123.3065</v>
          </cell>
          <cell r="D76">
            <v>17.939399999999999</v>
          </cell>
        </row>
        <row r="77">
          <cell r="A77" t="str">
            <v>E405</v>
          </cell>
          <cell r="B77" t="str">
            <v xml:space="preserve">CAMINHÃO BASCULANTE: MERCEDES BENZ: - 2726 K - P/ ROCHA 8 m3-13 t </v>
          </cell>
          <cell r="D77">
            <v>17.939399999999999</v>
          </cell>
        </row>
        <row r="78">
          <cell r="A78" t="str">
            <v>E406</v>
          </cell>
          <cell r="B78" t="str">
            <v>CAMINHÃO TANQUE: MERCEDES BENZ: - ATEGO 1418/42 - 6000 l</v>
          </cell>
          <cell r="D78">
            <v>17.939399999999999</v>
          </cell>
        </row>
        <row r="79">
          <cell r="A79" t="str">
            <v>E407</v>
          </cell>
          <cell r="B79" t="str">
            <v>CAMINHÃO TANQUE: MERCEDES BENZ:  2726 K - 10.000 l</v>
          </cell>
          <cell r="D79">
            <v>17.939399999999999</v>
          </cell>
        </row>
        <row r="80">
          <cell r="A80" t="str">
            <v>E408</v>
          </cell>
          <cell r="B80" t="str">
            <v>CAMINHÃO CARROCERIA: MERCEDES BENZ: 710/37 - 4 t</v>
          </cell>
          <cell r="D80">
            <v>17.939399999999999</v>
          </cell>
        </row>
        <row r="81">
          <cell r="A81" t="str">
            <v>E409</v>
          </cell>
          <cell r="B81" t="str">
            <v>CAMINHÃO CARROCERIA: MERCEDES BENZ: ATEGO 1418/42- FIXA 9 t</v>
          </cell>
          <cell r="D81">
            <v>17.939399999999999</v>
          </cell>
        </row>
        <row r="82">
          <cell r="A82" t="str">
            <v>E412</v>
          </cell>
          <cell r="B82" t="str">
            <v>VEÍCULO LEVE: VOLKSWAGEN: GOL 1000 - AUTOMÓVEL ATÉ 100 HP</v>
          </cell>
          <cell r="D82">
            <v>16.2576</v>
          </cell>
        </row>
        <row r="83">
          <cell r="A83" t="str">
            <v>E416</v>
          </cell>
          <cell r="B83" t="str">
            <v>VEÍCULO LEVE: CHEVROLET: S10 - PICK-UP (4x4)</v>
          </cell>
          <cell r="D83">
            <v>16.2576</v>
          </cell>
        </row>
        <row r="84">
          <cell r="A84" t="str">
            <v>E422</v>
          </cell>
          <cell r="B84" t="str">
            <v>CAMINHÃO TANQUE: MERCEDES BENZ: L1620/51 - 8.000 l</v>
          </cell>
          <cell r="D84">
            <v>17.939399999999999</v>
          </cell>
        </row>
        <row r="85">
          <cell r="A85" t="str">
            <v>E427</v>
          </cell>
          <cell r="B85" t="str">
            <v>CAMINHÃO BETONEIRA: VOLKSWAGEN: 26-260 - 11,5 T - 5 M3</v>
          </cell>
          <cell r="C85">
            <v>129.37389999999999</v>
          </cell>
          <cell r="D85">
            <v>17.939399999999999</v>
          </cell>
        </row>
        <row r="86">
          <cell r="A86" t="str">
            <v>E432</v>
          </cell>
          <cell r="B86" t="str">
            <v>CAMINHÃO BASCULANTE: VOLVO: FMX 6X4R - 40 t</v>
          </cell>
          <cell r="D86">
            <v>17.939399999999999</v>
          </cell>
        </row>
        <row r="87">
          <cell r="A87" t="str">
            <v>E433</v>
          </cell>
          <cell r="B87" t="str">
            <v xml:space="preserve">CAMINHÃO BASCULANTE: MERCEDES BENZ: 2726 - P/ ROCHA 18 t </v>
          </cell>
          <cell r="D87">
            <v>17.939399999999999</v>
          </cell>
        </row>
        <row r="88">
          <cell r="A88" t="str">
            <v>E434</v>
          </cell>
          <cell r="B88" t="str">
            <v>CAMINHÃO CARROCERIA: MERCEDES BENZ: L 1620/51 - C/ GUINDAUTO 6 t x m</v>
          </cell>
          <cell r="C88">
            <v>89.133600000000001</v>
          </cell>
          <cell r="D88">
            <v>17.939399999999999</v>
          </cell>
        </row>
        <row r="90">
          <cell r="A90" t="str">
            <v>E501</v>
          </cell>
          <cell r="B90" t="str">
            <v>GRUPO GERADOR: HEIMER: GEHM-40 - 36/40 KVA</v>
          </cell>
          <cell r="D90">
            <v>15.1364</v>
          </cell>
        </row>
        <row r="91">
          <cell r="A91" t="str">
            <v>E502</v>
          </cell>
          <cell r="B91" t="str">
            <v>GRUPO GERADOR: HEIMER: GEHM-150 - 136/150 KVA</v>
          </cell>
          <cell r="D91">
            <v>15.1364</v>
          </cell>
        </row>
        <row r="92">
          <cell r="A92" t="str">
            <v>E503</v>
          </cell>
          <cell r="B92" t="str">
            <v>GRUPO GERADOR: HEIMER: GEHM-180 - 164/180 KVA</v>
          </cell>
          <cell r="D92">
            <v>15.1364</v>
          </cell>
        </row>
        <row r="93">
          <cell r="A93" t="str">
            <v>E504</v>
          </cell>
          <cell r="B93" t="str">
            <v>GRUPO GERADOR: HEIMER: GEHMB-360 - 288 KVA</v>
          </cell>
          <cell r="D93">
            <v>15.1364</v>
          </cell>
        </row>
        <row r="94">
          <cell r="A94" t="str">
            <v>E505</v>
          </cell>
          <cell r="B94" t="str">
            <v>GRUPO GERADOR: HEIMER: GEHB-17 KVA - 17,0/15,5KVA</v>
          </cell>
          <cell r="D94">
            <v>15.1364</v>
          </cell>
        </row>
        <row r="95">
          <cell r="A95" t="str">
            <v>E508</v>
          </cell>
          <cell r="B95" t="str">
            <v>GRUPO GERADOR: PRAMAC: BL 6500 E - MANUAL/ELÉTRICO</v>
          </cell>
          <cell r="C95">
            <v>21.093699999999998</v>
          </cell>
          <cell r="D95">
            <v>15.1364</v>
          </cell>
        </row>
        <row r="96">
          <cell r="A96" t="str">
            <v>E509</v>
          </cell>
          <cell r="B96" t="str">
            <v>GRUPO GERADOR: HEIMER: GEHMI-40 - 32,0 KVA</v>
          </cell>
          <cell r="C96">
            <v>29.5504</v>
          </cell>
          <cell r="D96">
            <v>15.1364</v>
          </cell>
        </row>
        <row r="99">
          <cell r="A99" t="str">
            <v>E903</v>
          </cell>
          <cell r="B99" t="str">
            <v>BATE-ESTACAS: MAGAM: IM-1450 PM/E - DE GRAVIDADE P/ 3500 A 4000 kg</v>
          </cell>
          <cell r="C99">
            <v>115.1918</v>
          </cell>
          <cell r="D99">
            <v>15.1364</v>
          </cell>
        </row>
        <row r="100">
          <cell r="A100" t="str">
            <v>E904</v>
          </cell>
          <cell r="B100" t="str">
            <v xml:space="preserve">MÁQUINA DE BANCADA: MAKSIWA: SCMA - SERRA CIRCULAR DE 12'' </v>
          </cell>
          <cell r="D100">
            <v>0</v>
          </cell>
        </row>
        <row r="101">
          <cell r="A101" t="str">
            <v>E905</v>
          </cell>
          <cell r="B101" t="str">
            <v>MÁQUINA MANUAL: TIRFOR: TU-L 30 - TALHA GUINCHO PARA 3 T</v>
          </cell>
          <cell r="D101">
            <v>0</v>
          </cell>
        </row>
        <row r="102">
          <cell r="A102" t="str">
            <v>E906</v>
          </cell>
          <cell r="B102" t="str">
            <v>COMPACTADOR MANUAL: WACKER: ES 60 - SOQUETE VIBRATÓRIO</v>
          </cell>
          <cell r="D102">
            <v>13.454599999999999</v>
          </cell>
        </row>
        <row r="103">
          <cell r="A103" t="str">
            <v>E907</v>
          </cell>
          <cell r="B103" t="str">
            <v>CONJUNTO MOTO-BOMBA: HERO: 180-SH-75- COM MOTOR</v>
          </cell>
          <cell r="D103">
            <v>0</v>
          </cell>
        </row>
        <row r="104">
          <cell r="A104" t="str">
            <v>E908</v>
          </cell>
          <cell r="B104" t="str">
            <v>MÁQ. P/ PINTURA: CONSMAQ: 44 - DEMARCAÇÃO DE FAIXA AUTOPROP</v>
          </cell>
          <cell r="D104">
            <v>20.7425</v>
          </cell>
        </row>
        <row r="105">
          <cell r="A105" t="str">
            <v>E909</v>
          </cell>
          <cell r="B105" t="str">
            <v>EQUIP. PARA HIDROSSEMEADURA: M. BENZ/CONSMAQ: 1420 - 5500 l</v>
          </cell>
          <cell r="D105">
            <v>17.939399999999999</v>
          </cell>
        </row>
        <row r="106">
          <cell r="A106" t="str">
            <v>E910</v>
          </cell>
          <cell r="B106" t="str">
            <v>MÁQUINA MANUAL: BOSCH:1361 - ESMERILHADEIRA DE DISCO</v>
          </cell>
          <cell r="D106">
            <v>0</v>
          </cell>
        </row>
        <row r="107">
          <cell r="A107" t="str">
            <v>E912</v>
          </cell>
          <cell r="B107" t="str">
            <v>MÁQUINA MANUAL: BOSCH: GBS 20-2 - FURADEIRA ELÉT. IMPACTO</v>
          </cell>
          <cell r="C107">
            <v>0.45329999999999998</v>
          </cell>
          <cell r="D107">
            <v>0</v>
          </cell>
        </row>
        <row r="108">
          <cell r="A108" t="str">
            <v>E914</v>
          </cell>
          <cell r="B108" t="str">
            <v>COMPACTADOR MANUAL: WACKER: VP-2050 Y - PLACA VIBRATÓRIA C/ MOTOR</v>
          </cell>
          <cell r="D108">
            <v>13.454599999999999</v>
          </cell>
        </row>
        <row r="109">
          <cell r="A109" t="str">
            <v>E917</v>
          </cell>
          <cell r="B109" t="str">
            <v>MAQ. DE BANCADA: FRANHO: C-6A UNIVERSAL DE CORTE P/ CHAPA</v>
          </cell>
          <cell r="D109">
            <v>13.454599999999999</v>
          </cell>
        </row>
        <row r="110">
          <cell r="A110" t="str">
            <v>E918</v>
          </cell>
          <cell r="B110" t="str">
            <v>MÁQ. DE BANCADA: HARLO: VF-8 - PRENSA EXCÊNTRICA</v>
          </cell>
          <cell r="D110">
            <v>0</v>
          </cell>
        </row>
        <row r="111">
          <cell r="A111" t="str">
            <v>E919</v>
          </cell>
          <cell r="B111" t="str">
            <v>MÁQ. DE BANCADA: COR DOB IND. E COM. DE MÁQUINAS: GHP 2.5X2030MM - GUILHOTINA 8 t</v>
          </cell>
          <cell r="D111">
            <v>0</v>
          </cell>
        </row>
        <row r="112">
          <cell r="A112" t="str">
            <v>E920</v>
          </cell>
          <cell r="B112" t="str">
            <v>MÁQ. P/ PINTURA: ELGIMAQ: H 16-3 - FAIXA A QUENTE P/ MAT. TERM</v>
          </cell>
          <cell r="D112">
            <v>20.7425</v>
          </cell>
        </row>
        <row r="113">
          <cell r="A113" t="str">
            <v>E921</v>
          </cell>
          <cell r="B113" t="str">
            <v>FUSOR: ELGIMAQ: - 500 l</v>
          </cell>
          <cell r="D113">
            <v>0</v>
          </cell>
        </row>
        <row r="114">
          <cell r="A114" t="str">
            <v>E922</v>
          </cell>
          <cell r="B114" t="str">
            <v>MARTELETE: BOSCH: GBH 5-40 DCE - PERFURADOR/ROMPEDOR ELET 11316</v>
          </cell>
          <cell r="D114">
            <v>13.454599999999999</v>
          </cell>
        </row>
        <row r="115">
          <cell r="A115" t="str">
            <v>E924</v>
          </cell>
          <cell r="B115" t="str">
            <v>EQUIP. P/ SOLDA: MAX BANTAM: BANTAM 250 SERRALHEIRO - TRANSFORMADOR SOLDA ELETR. 250 AMP</v>
          </cell>
          <cell r="C115">
            <v>3.1082000000000001</v>
          </cell>
          <cell r="D115">
            <v>0</v>
          </cell>
        </row>
      </sheetData>
      <sheetData sheetId="4">
        <row r="1">
          <cell r="B1" t="str">
            <v>CUSTO HORÁRIO DE MÃO-DE-OBRA</v>
          </cell>
          <cell r="D1">
            <v>40664</v>
          </cell>
        </row>
        <row r="2">
          <cell r="A2" t="str">
            <v>CÓDIGO</v>
          </cell>
          <cell r="B2" t="str">
            <v>PROFISSÃO</v>
          </cell>
          <cell r="C2" t="str">
            <v>P.SALARIAL</v>
          </cell>
          <cell r="D2" t="str">
            <v>SAL/HORA</v>
          </cell>
        </row>
        <row r="3">
          <cell r="A3" t="str">
            <v>T302</v>
          </cell>
          <cell r="B3" t="str">
            <v>MOTORISTA DE CAMINHÃO</v>
          </cell>
          <cell r="C3">
            <v>3.2</v>
          </cell>
          <cell r="D3">
            <v>17.939419999999998</v>
          </cell>
        </row>
        <row r="4">
          <cell r="A4" t="str">
            <v>T312</v>
          </cell>
          <cell r="B4" t="str">
            <v>OPERADOR DE EQUIP. LEVE 2</v>
          </cell>
          <cell r="C4">
            <v>2.7</v>
          </cell>
          <cell r="D4">
            <v>15.13639</v>
          </cell>
        </row>
        <row r="5">
          <cell r="A5" t="str">
            <v>T314</v>
          </cell>
          <cell r="B5" t="str">
            <v>OPERADOR DE EQUIP. ESPECIAL</v>
          </cell>
          <cell r="C5">
            <v>3.7</v>
          </cell>
          <cell r="D5">
            <v>20.742460000000001</v>
          </cell>
        </row>
        <row r="6">
          <cell r="A6" t="str">
            <v>T401</v>
          </cell>
          <cell r="B6" t="str">
            <v>PRÉ-MARCADOR</v>
          </cell>
          <cell r="C6">
            <v>3.7</v>
          </cell>
          <cell r="D6">
            <v>20.742460000000001</v>
          </cell>
        </row>
        <row r="7">
          <cell r="A7" t="str">
            <v>T501</v>
          </cell>
          <cell r="B7" t="str">
            <v>ENCARREGADO DE TURMA</v>
          </cell>
          <cell r="C7">
            <v>4.0999999999999996</v>
          </cell>
          <cell r="D7">
            <v>22.98488</v>
          </cell>
        </row>
        <row r="8">
          <cell r="A8" t="str">
            <v>T511</v>
          </cell>
          <cell r="B8" t="str">
            <v>ENCARREGADO DE PAVIMENTAÇÃO</v>
          </cell>
          <cell r="C8">
            <v>7</v>
          </cell>
          <cell r="D8">
            <v>39.24248</v>
          </cell>
        </row>
        <row r="9">
          <cell r="A9" t="str">
            <v>T512</v>
          </cell>
          <cell r="B9" t="str">
            <v>ENCARREGADO DE BRITAGEM</v>
          </cell>
          <cell r="C9">
            <v>7</v>
          </cell>
          <cell r="D9">
            <v>39.24248</v>
          </cell>
        </row>
        <row r="10">
          <cell r="A10" t="str">
            <v>T601</v>
          </cell>
          <cell r="B10" t="str">
            <v>BLASTER</v>
          </cell>
          <cell r="C10">
            <v>4.0999999999999996</v>
          </cell>
          <cell r="D10">
            <v>22.98488</v>
          </cell>
        </row>
        <row r="11">
          <cell r="A11" t="str">
            <v>T602</v>
          </cell>
          <cell r="B11" t="str">
            <v>MONTADOR</v>
          </cell>
          <cell r="C11">
            <v>1.99</v>
          </cell>
          <cell r="D11">
            <v>11.156079999999999</v>
          </cell>
        </row>
        <row r="12">
          <cell r="A12" t="str">
            <v>T603</v>
          </cell>
          <cell r="B12" t="str">
            <v>CARPINTEIRO</v>
          </cell>
          <cell r="C12">
            <v>1.99</v>
          </cell>
          <cell r="D12">
            <v>11.156079999999999</v>
          </cell>
        </row>
        <row r="13">
          <cell r="A13" t="str">
            <v>T604</v>
          </cell>
          <cell r="B13" t="str">
            <v>PEDREIRO</v>
          </cell>
          <cell r="C13">
            <v>1.99</v>
          </cell>
          <cell r="D13">
            <v>11.156079999999999</v>
          </cell>
        </row>
        <row r="14">
          <cell r="A14" t="str">
            <v>T605</v>
          </cell>
          <cell r="B14" t="str">
            <v>ARMADOR</v>
          </cell>
          <cell r="C14">
            <v>1.99</v>
          </cell>
          <cell r="D14">
            <v>11.156079999999999</v>
          </cell>
        </row>
        <row r="15">
          <cell r="A15" t="str">
            <v>T607</v>
          </cell>
          <cell r="B15" t="str">
            <v>PINTOR</v>
          </cell>
          <cell r="C15">
            <v>1.99</v>
          </cell>
          <cell r="D15">
            <v>11.156079999999999</v>
          </cell>
        </row>
        <row r="16">
          <cell r="A16" t="str">
            <v>T608</v>
          </cell>
          <cell r="B16" t="str">
            <v>SOLDADOR</v>
          </cell>
          <cell r="C16">
            <v>1.99</v>
          </cell>
          <cell r="D16">
            <v>11.156079999999999</v>
          </cell>
        </row>
        <row r="17">
          <cell r="A17" t="str">
            <v>T609</v>
          </cell>
          <cell r="B17" t="str">
            <v>JARDINEIRO</v>
          </cell>
          <cell r="C17">
            <v>1.99</v>
          </cell>
          <cell r="D17">
            <v>11.156079999999999</v>
          </cell>
        </row>
        <row r="18">
          <cell r="A18" t="str">
            <v>T610</v>
          </cell>
          <cell r="B18" t="str">
            <v>SERRALHEIRO</v>
          </cell>
          <cell r="C18">
            <v>1.99</v>
          </cell>
          <cell r="D18">
            <v>11.156079999999999</v>
          </cell>
        </row>
        <row r="19">
          <cell r="A19" t="str">
            <v>T701</v>
          </cell>
          <cell r="B19" t="str">
            <v>SERVENTE</v>
          </cell>
          <cell r="C19">
            <v>1.41</v>
          </cell>
          <cell r="D19">
            <v>7.90456</v>
          </cell>
        </row>
        <row r="20">
          <cell r="A20" t="str">
            <v>T702</v>
          </cell>
          <cell r="B20" t="str">
            <v>AJUDANTE</v>
          </cell>
          <cell r="C20">
            <v>1.54</v>
          </cell>
          <cell r="D20">
            <v>8.6333500000000001</v>
          </cell>
        </row>
        <row r="21">
          <cell r="A21" t="str">
            <v>T801</v>
          </cell>
          <cell r="B21" t="str">
            <v>PERFURADOR DE TUBULÃO</v>
          </cell>
          <cell r="C21">
            <v>2.8</v>
          </cell>
          <cell r="D21">
            <v>15.696999999999999</v>
          </cell>
        </row>
        <row r="23">
          <cell r="B23" t="str">
            <v>PARÂMETROS</v>
          </cell>
        </row>
        <row r="24">
          <cell r="B24" t="str">
            <v>ENCARGOS SOCIAIS</v>
          </cell>
          <cell r="C24">
            <v>1.2629999999999999</v>
          </cell>
        </row>
        <row r="25">
          <cell r="B25" t="str">
            <v>HORAS NO MÊS</v>
          </cell>
          <cell r="C25">
            <v>220</v>
          </cell>
        </row>
        <row r="26">
          <cell r="B26" t="str">
            <v>SALÁRIO BASE</v>
          </cell>
          <cell r="C26">
            <v>545</v>
          </cell>
        </row>
      </sheetData>
      <sheetData sheetId="5"/>
      <sheetData sheetId="6">
        <row r="1">
          <cell r="A1" t="str">
            <v>CUSTO DE TRANSPORTE - MAIO/2011</v>
          </cell>
        </row>
        <row r="3">
          <cell r="A3" t="str">
            <v>CÓDIGO</v>
          </cell>
          <cell r="B3" t="str">
            <v>CAMINHÃO</v>
          </cell>
          <cell r="C3" t="str">
            <v>TIPO</v>
          </cell>
          <cell r="D3" t="str">
            <v>PAVIM</v>
          </cell>
          <cell r="E3" t="str">
            <v>NÃO PAVIM</v>
          </cell>
        </row>
        <row r="4">
          <cell r="D4" t="str">
            <v>R$/tkm</v>
          </cell>
          <cell r="E4" t="str">
            <v>R$/tkm</v>
          </cell>
        </row>
        <row r="5">
          <cell r="A5" t="str">
            <v>1.A.00.001.05</v>
          </cell>
          <cell r="B5" t="str">
            <v>CAMINHÃO BASCULANTE</v>
          </cell>
          <cell r="C5" t="str">
            <v>LOCAL</v>
          </cell>
          <cell r="E5">
            <v>0.63</v>
          </cell>
        </row>
        <row r="6">
          <cell r="A6" t="str">
            <v>1.A.00.002.05</v>
          </cell>
          <cell r="B6" t="str">
            <v>CAMINHÃO BASCULANTE</v>
          </cell>
          <cell r="C6" t="str">
            <v>LOCAL</v>
          </cell>
          <cell r="D6">
            <v>0.49</v>
          </cell>
        </row>
        <row r="7">
          <cell r="A7" t="str">
            <v>1.A.00.001.91</v>
          </cell>
          <cell r="B7" t="str">
            <v>CAMINHÃO BASCULANTE</v>
          </cell>
          <cell r="C7" t="str">
            <v>COML</v>
          </cell>
          <cell r="E7">
            <v>0.5</v>
          </cell>
        </row>
        <row r="8">
          <cell r="A8" t="str">
            <v>1.A.00.002.91</v>
          </cell>
          <cell r="B8" t="str">
            <v>CAMINHÃO BASCULANTE</v>
          </cell>
          <cell r="C8" t="str">
            <v>COML</v>
          </cell>
          <cell r="D8">
            <v>0.33</v>
          </cell>
        </row>
        <row r="9">
          <cell r="A9" t="str">
            <v>1.A.00.001.40</v>
          </cell>
          <cell r="B9" t="str">
            <v>CAMINHÃO CARROCERIA</v>
          </cell>
          <cell r="C9" t="str">
            <v>LOCAL</v>
          </cell>
          <cell r="E9">
            <v>0.82</v>
          </cell>
        </row>
        <row r="10">
          <cell r="A10" t="str">
            <v>1.A.00.002.40</v>
          </cell>
          <cell r="B10" t="str">
            <v>CAMINHÃO CARROCERIA</v>
          </cell>
          <cell r="C10" t="str">
            <v>LOCAL</v>
          </cell>
          <cell r="D10">
            <v>0.62</v>
          </cell>
        </row>
        <row r="11">
          <cell r="A11" t="str">
            <v>1.A.00.001.90</v>
          </cell>
          <cell r="B11" t="str">
            <v>CAMINHÃO CARROCERIA</v>
          </cell>
          <cell r="C11" t="str">
            <v>COML</v>
          </cell>
          <cell r="E11">
            <v>0.48</v>
          </cell>
        </row>
        <row r="12">
          <cell r="A12" t="str">
            <v>1.A.00.002.90</v>
          </cell>
          <cell r="B12" t="str">
            <v>CAMINHÃO CARROCERIA</v>
          </cell>
          <cell r="C12" t="str">
            <v>COML</v>
          </cell>
          <cell r="D12">
            <v>0.32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.BÁSICOS"/>
      <sheetName val="C.UNIT.SERV."/>
      <sheetName val="MATERIAL"/>
      <sheetName val="EQUIPAMENTOS"/>
      <sheetName val="MÃODEOBRA"/>
      <sheetName val="DADOGERAL"/>
      <sheetName val="T.CAM"/>
    </sheetNames>
    <sheetDataSet>
      <sheetData sheetId="0"/>
      <sheetData sheetId="1">
        <row r="5">
          <cell r="E5" t="str">
            <v>DATA-BASE:      MAIO/2011/PR</v>
          </cell>
        </row>
      </sheetData>
      <sheetData sheetId="2">
        <row r="1">
          <cell r="A1" t="str">
            <v>CÓDIGO</v>
          </cell>
        </row>
      </sheetData>
      <sheetData sheetId="3">
        <row r="1">
          <cell r="A1" t="str">
            <v>CUSTO HORÁRIO DE EQUIPAMENTOS -MARÇO/2011</v>
          </cell>
        </row>
        <row r="2">
          <cell r="A2" t="str">
            <v>CÓDIGO</v>
          </cell>
          <cell r="B2" t="str">
            <v>DESCRIÇÃO</v>
          </cell>
          <cell r="C2" t="str">
            <v>C.PRODUTIVO</v>
          </cell>
          <cell r="D2" t="str">
            <v>C.IMPROD.</v>
          </cell>
        </row>
        <row r="3">
          <cell r="A3" t="str">
            <v>E001</v>
          </cell>
          <cell r="B3" t="str">
            <v>TRATOR DE ESTEIRAS: NEW HOLLAND  7D - COM LÂMINA</v>
          </cell>
          <cell r="D3">
            <v>19.621200000000002</v>
          </cell>
        </row>
        <row r="4">
          <cell r="A4" t="str">
            <v>E002</v>
          </cell>
          <cell r="B4" t="str">
            <v>TRATOR DE ESTEIRAS: CATERPILLAR: D6M - C/ LÂMINA</v>
          </cell>
          <cell r="D4">
            <v>19.621200000000002</v>
          </cell>
        </row>
        <row r="5">
          <cell r="A5" t="str">
            <v>E003</v>
          </cell>
          <cell r="B5" t="str">
            <v>TRATOR DE ESTEIRAS: CATERPILLAR:  D8T - C/ LÂMINA</v>
          </cell>
          <cell r="D5">
            <v>19.621200000000002</v>
          </cell>
        </row>
        <row r="6">
          <cell r="A6" t="str">
            <v>E005</v>
          </cell>
          <cell r="B6" t="str">
            <v>MOTOSCRAPER: CATERPILLAR: 621G</v>
          </cell>
          <cell r="D6">
            <v>19.621200000000002</v>
          </cell>
        </row>
        <row r="7">
          <cell r="A7" t="str">
            <v>E006</v>
          </cell>
          <cell r="B7" t="str">
            <v>MOTONIVELADORA: CATERPILLAR: 120M</v>
          </cell>
          <cell r="D7">
            <v>19.621200000000002</v>
          </cell>
        </row>
        <row r="8">
          <cell r="A8" t="str">
            <v>E007</v>
          </cell>
          <cell r="B8" t="str">
            <v>TRATOR AGRÍCOLA: MASSEY FERGUSON: MF 4291/4 449A</v>
          </cell>
          <cell r="D8">
            <v>15.1364</v>
          </cell>
        </row>
        <row r="9">
          <cell r="A9" t="str">
            <v>E009</v>
          </cell>
          <cell r="B9" t="str">
            <v>CARREGADEIRA DE PNEUS: CATERPILLAR: 924G - 1,80 m3</v>
          </cell>
          <cell r="C9">
            <v>115.38120000000001</v>
          </cell>
          <cell r="D9">
            <v>19.621200000000002</v>
          </cell>
        </row>
        <row r="10">
          <cell r="A10" t="str">
            <v>E010</v>
          </cell>
          <cell r="B10" t="str">
            <v>CARREGADEIRA DE PNEUS: CATERPILLAR: 950H - 3,3 m3</v>
          </cell>
          <cell r="D10">
            <v>19.621200000000002</v>
          </cell>
        </row>
        <row r="11">
          <cell r="A11" t="str">
            <v>E011</v>
          </cell>
          <cell r="B11" t="str">
            <v>RETROESCAVADEIRA: MASSEY FERGUSON: MF-86HS - DE PNEUS</v>
          </cell>
          <cell r="D11">
            <v>19.621200000000002</v>
          </cell>
        </row>
        <row r="12">
          <cell r="A12" t="str">
            <v>E013</v>
          </cell>
          <cell r="B12" t="str">
            <v>ROLO COMPAC.: DYNAPAC: CA-250-P - PÉ DE CARNEIRO AUTOP. 11,25 t VIBR</v>
          </cell>
          <cell r="D12">
            <v>15.1364</v>
          </cell>
        </row>
        <row r="13">
          <cell r="A13" t="str">
            <v>E014</v>
          </cell>
          <cell r="B13" t="str">
            <v>TRATOR DE ESTEIRAS: CATERPILLAR: D8T - C/ ESCARIFICADOR</v>
          </cell>
          <cell r="D13">
            <v>19.621200000000002</v>
          </cell>
        </row>
        <row r="14">
          <cell r="A14" t="str">
            <v>E016</v>
          </cell>
          <cell r="B14" t="str">
            <v>CARREGADEIRA DE PNEUS: CASE: W-20 E - 1,91 m3</v>
          </cell>
          <cell r="D14">
            <v>19.621200000000002</v>
          </cell>
        </row>
        <row r="15">
          <cell r="A15" t="str">
            <v>E062</v>
          </cell>
          <cell r="B15" t="str">
            <v>ESCAVADEIRA HIDRÁULICA: CATERPILLAR: 336DL - C/ ESTEIRA</v>
          </cell>
          <cell r="D15">
            <v>20.7425</v>
          </cell>
        </row>
        <row r="16">
          <cell r="A16" t="str">
            <v>E063</v>
          </cell>
          <cell r="B16" t="str">
            <v>ESCAV. HIDRÁUL.: CATERPILLAR: 320DL - C/ EST. - CAP 600 L P/ LONGO ALCANCE</v>
          </cell>
          <cell r="D16">
            <v>20.7425</v>
          </cell>
        </row>
        <row r="18">
          <cell r="A18" t="str">
            <v>E101</v>
          </cell>
          <cell r="B18" t="str">
            <v>GRADE DE DISCOS: MARCHESAN: GA 24 x 24</v>
          </cell>
          <cell r="D18">
            <v>0</v>
          </cell>
        </row>
        <row r="19">
          <cell r="A19" t="str">
            <v>E102</v>
          </cell>
          <cell r="B19" t="str">
            <v>ROLO COMPAC.: DYNAPAC: CC-424HF - TANDEN VIBRAT. AUTOPROP 10,2 t</v>
          </cell>
          <cell r="D19">
            <v>15.1364</v>
          </cell>
        </row>
        <row r="20">
          <cell r="A20" t="str">
            <v>E105</v>
          </cell>
          <cell r="B20" t="str">
            <v>ROLO COMPAC.: CATERPILLAR: PS-360 C - DE PNEUS AUTOPROP. 25 t</v>
          </cell>
          <cell r="D20">
            <v>15.1364</v>
          </cell>
        </row>
        <row r="21">
          <cell r="A21" t="str">
            <v>E106</v>
          </cell>
          <cell r="B21" t="str">
            <v>USINA MISTURADORA: CIFALI:  DE SOLOS 300 t/h</v>
          </cell>
          <cell r="D21">
            <v>20.7425</v>
          </cell>
        </row>
        <row r="22">
          <cell r="A22" t="str">
            <v>E107</v>
          </cell>
          <cell r="B22" t="str">
            <v>VASSOURA MECÂNICA: CMV: VM2440 - REBOCÁVEL</v>
          </cell>
          <cell r="D22">
            <v>0</v>
          </cell>
        </row>
        <row r="23">
          <cell r="A23" t="str">
            <v>E108</v>
          </cell>
          <cell r="B23" t="str">
            <v>DISTRIBUIDOR DE AGREGADOS: CMV: - REBOCÁVEL</v>
          </cell>
          <cell r="D23">
            <v>0</v>
          </cell>
        </row>
        <row r="24">
          <cell r="A24" t="str">
            <v>E109</v>
          </cell>
          <cell r="B24" t="str">
            <v>DISTRIBUIDOR DE AGREGADOS: ROMANELLI: DAR-5000 AUTOPROP</v>
          </cell>
          <cell r="D24">
            <v>19.621200000000002</v>
          </cell>
        </row>
        <row r="25">
          <cell r="A25" t="str">
            <v>E110</v>
          </cell>
          <cell r="B25" t="str">
            <v>TANQUE ESTOCAGEM ASFALTO: CIFALI: - 30.000 l</v>
          </cell>
          <cell r="D25">
            <v>0</v>
          </cell>
        </row>
        <row r="26">
          <cell r="A26" t="str">
            <v>E111</v>
          </cell>
          <cell r="B26" t="str">
            <v>EQUIP. DISTRIB. DE ASFALTO: FERLEX - MONTADO EM CAM</v>
          </cell>
          <cell r="D26">
            <v>17.939399999999999</v>
          </cell>
        </row>
        <row r="27">
          <cell r="A27" t="str">
            <v>E112</v>
          </cell>
          <cell r="B27" t="str">
            <v>AQUECEDOR DE FLUIDO TÉRMICO: TENGE: TH III</v>
          </cell>
          <cell r="D27">
            <v>0</v>
          </cell>
        </row>
        <row r="28">
          <cell r="A28" t="str">
            <v>E113</v>
          </cell>
          <cell r="B28" t="str">
            <v>USINA DE ASFALTO A QUENTE: CIFALI: DMC-2 - 40/60 t/h</v>
          </cell>
          <cell r="D28">
            <v>20.7425</v>
          </cell>
        </row>
        <row r="29">
          <cell r="A29" t="str">
            <v>E114</v>
          </cell>
          <cell r="B29" t="str">
            <v>VIBROACABADORA DE ASFALTO: CIFALI: VDA-421 - SOBRE PNEUS</v>
          </cell>
          <cell r="D29">
            <v>20.7425</v>
          </cell>
        </row>
        <row r="30">
          <cell r="A30" t="str">
            <v>E115</v>
          </cell>
          <cell r="B30" t="str">
            <v>USINA MISTURADORA: TEREX: UPM F 60 - PRÉ MIST. A FRIO 60 t/h</v>
          </cell>
          <cell r="D30">
            <v>20.7425</v>
          </cell>
        </row>
        <row r="31">
          <cell r="A31" t="str">
            <v>E124</v>
          </cell>
          <cell r="B31" t="str">
            <v>USINA DE ASFALTO A QUENTE: CIFALI: - GRAVIM 100/140 t/h</v>
          </cell>
          <cell r="D31">
            <v>20.7425</v>
          </cell>
        </row>
        <row r="32">
          <cell r="A32" t="str">
            <v>E127</v>
          </cell>
        </row>
        <row r="33">
          <cell r="A33" t="str">
            <v>E129</v>
          </cell>
          <cell r="B33" t="str">
            <v>RECICLADORA DE PAVIMENTO: WIRTGEN: WR 2500 S - A FRIO</v>
          </cell>
          <cell r="D33">
            <v>20.7425</v>
          </cell>
        </row>
        <row r="34">
          <cell r="A34" t="str">
            <v>E138</v>
          </cell>
          <cell r="B34" t="str">
            <v>ESTABILIZADOR/RECICLADORA A FRIO: CATERPILLAR: RM-500</v>
          </cell>
          <cell r="D34">
            <v>20.7425</v>
          </cell>
        </row>
        <row r="35">
          <cell r="A35" t="str">
            <v>E139</v>
          </cell>
          <cell r="B35" t="str">
            <v>ROLO COMPACTADOR: DYNAPAC: CA250 - LISO AUTOPROP. VIBRAT.</v>
          </cell>
          <cell r="D35">
            <v>15.1364</v>
          </cell>
        </row>
        <row r="36">
          <cell r="A36" t="str">
            <v>E147</v>
          </cell>
          <cell r="B36" t="str">
            <v>USINA DE ASFALTO A QUENTE: CIFALI: CIFALI MAGNUM 120 - 90/120 t/h C/ FILTRO DE MANGA</v>
          </cell>
          <cell r="D36">
            <v>20.7425</v>
          </cell>
        </row>
        <row r="37">
          <cell r="A37" t="str">
            <v>E149</v>
          </cell>
          <cell r="B37" t="str">
            <v>VIBROACABADORA DE ASF.: TEREX: TEREX VDA-600 - SOBRE EST.</v>
          </cell>
          <cell r="D37">
            <v>20.7425</v>
          </cell>
        </row>
        <row r="38">
          <cell r="A38" t="str">
            <v>E156</v>
          </cell>
        </row>
        <row r="40">
          <cell r="A40" t="str">
            <v>E201</v>
          </cell>
          <cell r="B40" t="str">
            <v>COMPRESSOR DE AR: ATLAS COPCO: XAHS 157Pd - 295 PCM</v>
          </cell>
          <cell r="D40">
            <v>15.1364</v>
          </cell>
        </row>
        <row r="41">
          <cell r="A41" t="str">
            <v>E202</v>
          </cell>
          <cell r="B41" t="str">
            <v>COMPRESSOR DE AR: ATLAS COPCO: XAS 187Pd - 400 PCM</v>
          </cell>
          <cell r="D41">
            <v>15.1364</v>
          </cell>
        </row>
        <row r="42">
          <cell r="A42" t="str">
            <v>E203</v>
          </cell>
          <cell r="B42" t="str">
            <v>COMPRESSOR DE AR: ATLAS COPCO: XAS 360 CUD - 762 PCM</v>
          </cell>
          <cell r="D42">
            <v>15.1364</v>
          </cell>
        </row>
        <row r="43">
          <cell r="A43" t="str">
            <v>E204</v>
          </cell>
          <cell r="B43" t="str">
            <v>MARTELETE: ATLAS COPCO: RH658-6L - PERFURATRIZ MANUAL</v>
          </cell>
          <cell r="D43">
            <v>13.454599999999999</v>
          </cell>
        </row>
        <row r="44">
          <cell r="A44" t="str">
            <v>E205</v>
          </cell>
          <cell r="B44" t="str">
            <v>PERFURATRIZ SOBRE ESTEIRAS: ATLAS COPCO: ROC 442PC - Crawler Drill</v>
          </cell>
          <cell r="C44">
            <v>68.303100000000001</v>
          </cell>
          <cell r="D44">
            <v>15.1364</v>
          </cell>
        </row>
        <row r="45">
          <cell r="A45" t="str">
            <v>E206</v>
          </cell>
          <cell r="B45" t="str">
            <v>CONJUNTO DE BRITAGEM: FAÇO: L-150A 30 M3/H</v>
          </cell>
          <cell r="D45">
            <v>19.621200000000002</v>
          </cell>
        </row>
        <row r="46">
          <cell r="A46" t="str">
            <v>E208</v>
          </cell>
          <cell r="B46" t="str">
            <v>COMPRESSOR DE AR: ATLAS COPCO: XAHS 107Pd - 200 PCM</v>
          </cell>
          <cell r="D46">
            <v>15.1364</v>
          </cell>
        </row>
        <row r="47">
          <cell r="A47" t="str">
            <v>E209</v>
          </cell>
          <cell r="B47" t="str">
            <v>MARTELETE: ATLAS COPCO: TEX270 PS - ROMPEDOR 28 KG</v>
          </cell>
          <cell r="D47">
            <v>13.454599999999999</v>
          </cell>
        </row>
        <row r="48">
          <cell r="A48" t="str">
            <v>E210</v>
          </cell>
          <cell r="B48" t="str">
            <v>MARTELETE: ATLAS COPCO: TEX32 PS - ROMPEDOR 33 KG</v>
          </cell>
          <cell r="D48">
            <v>13.454599999999999</v>
          </cell>
        </row>
        <row r="49">
          <cell r="A49" t="str">
            <v>E211</v>
          </cell>
          <cell r="B49" t="str">
            <v>MÁQ. P/ PINTURA: SHULZ: CSL 10/100 L - COMPRES. DE AR P/ PINTURA C/ FILTRO</v>
          </cell>
          <cell r="D49">
            <v>0</v>
          </cell>
        </row>
        <row r="50">
          <cell r="A50" t="str">
            <v>E223</v>
          </cell>
          <cell r="B50" t="str">
            <v>COMPRESSOR DE AR: ATLAS COPCO: XATS 167Pd - 360 PCM</v>
          </cell>
          <cell r="D50">
            <v>15.1364</v>
          </cell>
        </row>
        <row r="51">
          <cell r="A51" t="str">
            <v>E225</v>
          </cell>
          <cell r="B51" t="str">
            <v>CONJUNTO DE BRITAGEM: METSO SVEDALA: C96/HP-200 - 80 M3/H</v>
          </cell>
          <cell r="D51">
            <v>19.621200000000002</v>
          </cell>
        </row>
        <row r="52">
          <cell r="A52" t="str">
            <v>E226</v>
          </cell>
          <cell r="B52" t="str">
            <v>CONJUNTO DE BRITAGEM - P/ RACHÃO: METSO SVEDALA: DS-96 - 80 M3/H</v>
          </cell>
          <cell r="D52">
            <v>19.621200000000002</v>
          </cell>
        </row>
        <row r="54">
          <cell r="A54" t="str">
            <v>E301</v>
          </cell>
          <cell r="B54" t="str">
            <v>BETONEIRA: PENEDO: 400 l</v>
          </cell>
          <cell r="C54">
            <v>19.312100000000001</v>
          </cell>
          <cell r="D54">
            <v>15.1364</v>
          </cell>
        </row>
        <row r="55">
          <cell r="A55" t="str">
            <v>E302</v>
          </cell>
          <cell r="B55" t="str">
            <v>BETONEIRA: PENEDO: 400 l</v>
          </cell>
          <cell r="D55">
            <v>15.1364</v>
          </cell>
        </row>
        <row r="56">
          <cell r="A56" t="str">
            <v>E303</v>
          </cell>
          <cell r="B56" t="str">
            <v>BETONEIRA: ALFA: 750 l</v>
          </cell>
          <cell r="D56">
            <v>15.1364</v>
          </cell>
        </row>
        <row r="57">
          <cell r="A57" t="str">
            <v>E304</v>
          </cell>
          <cell r="B57" t="str">
            <v>TRANSPORTADOR MANUAL: AJS: - CARRINHO DE MÃO 80 l</v>
          </cell>
          <cell r="C57">
            <v>0.12909999999999999</v>
          </cell>
          <cell r="D57">
            <v>0</v>
          </cell>
        </row>
        <row r="58">
          <cell r="A58" t="str">
            <v>E305</v>
          </cell>
          <cell r="B58" t="str">
            <v>TRANSPORTADOR MANUAL: AJS: A-15 - GERICA 180 l</v>
          </cell>
          <cell r="D58">
            <v>0</v>
          </cell>
        </row>
        <row r="59">
          <cell r="A59" t="str">
            <v>E306</v>
          </cell>
          <cell r="B59" t="str">
            <v>VIBRADOR DE CONCRETO: DIVERSOS: VIP-MT2 - DE IMERSÃO</v>
          </cell>
          <cell r="D59">
            <v>13.454599999999999</v>
          </cell>
        </row>
        <row r="60">
          <cell r="A60" t="str">
            <v>E307</v>
          </cell>
          <cell r="B60" t="str">
            <v>FAB. PRÉ-MOLDADO CONCRETO: SERVIMAQ: - TUBOS D = 0,20 m M/F</v>
          </cell>
          <cell r="D60">
            <v>0</v>
          </cell>
        </row>
        <row r="61">
          <cell r="A61" t="str">
            <v>E308</v>
          </cell>
          <cell r="B61" t="str">
            <v>FAB. PRÉ-MOLDADO CONCRETO: SERVIMAQ: - TUBOS D = 0,30 m MF</v>
          </cell>
          <cell r="D61">
            <v>0</v>
          </cell>
        </row>
        <row r="62">
          <cell r="A62" t="str">
            <v>E309</v>
          </cell>
          <cell r="B62" t="str">
            <v>FAB. PRÉ-MOLDADO CONCRETO: SERVIMAQ: - TUBOS D = 0,40 m MF</v>
          </cell>
          <cell r="D62">
            <v>0</v>
          </cell>
        </row>
        <row r="63">
          <cell r="A63" t="str">
            <v>E310</v>
          </cell>
          <cell r="B63" t="str">
            <v>FAB. PRÉ-MOLDADO CONCRETO: SERVIMAQ: - TUBOS D = 0,60 m MF</v>
          </cell>
          <cell r="D63">
            <v>0</v>
          </cell>
        </row>
        <row r="64">
          <cell r="A64" t="str">
            <v>E311</v>
          </cell>
          <cell r="B64" t="str">
            <v>FAB. PRÉ-MOLDADO CONCRETO: SERVIMAQ: - TUBOS D = 0,80 m MF</v>
          </cell>
          <cell r="D64">
            <v>0</v>
          </cell>
        </row>
        <row r="65">
          <cell r="A65" t="str">
            <v>E312</v>
          </cell>
          <cell r="B65" t="str">
            <v>FAB. PRÉ-MOLDADO CONCRETO: SERVIMAQ: - TUBOS D = 1,00 m MF</v>
          </cell>
          <cell r="D65">
            <v>0</v>
          </cell>
        </row>
        <row r="66">
          <cell r="A66" t="str">
            <v>E313</v>
          </cell>
          <cell r="B66" t="str">
            <v>FAB. PRÉ-MOLDADO CONCRETO: SERVIMAQ: - TUBOS D = 1,20 m MF</v>
          </cell>
          <cell r="D66">
            <v>0</v>
          </cell>
        </row>
        <row r="67">
          <cell r="A67" t="str">
            <v>E314</v>
          </cell>
          <cell r="B67" t="str">
            <v>FAB. PRÉ-MOLDADO CONCRETO: SERVIMAQ: - TUBOS D = 1,50 m MF</v>
          </cell>
          <cell r="D67">
            <v>0</v>
          </cell>
        </row>
        <row r="68">
          <cell r="A68" t="str">
            <v>E316</v>
          </cell>
          <cell r="B68" t="str">
            <v>FAB. PRÉ-MOLDADO CONCRETO: SERVIMAQ: - INST. COMPL. - MOURÃO</v>
          </cell>
          <cell r="D68">
            <v>0</v>
          </cell>
        </row>
        <row r="69">
          <cell r="A69" t="str">
            <v>E317</v>
          </cell>
          <cell r="B69" t="str">
            <v>FAB. PRÉ-MOLDADO CONCRETO: SERVIMAQ: - INST. COMPL. - BALIZADOR</v>
          </cell>
          <cell r="D69">
            <v>0</v>
          </cell>
        </row>
        <row r="70">
          <cell r="A70" t="str">
            <v>E333</v>
          </cell>
          <cell r="B70" t="str">
            <v>SERRA DE DISCO DIAMANTADO: CC3700 - P/ CONCRETO</v>
          </cell>
          <cell r="C70">
            <v>35.614600000000003</v>
          </cell>
          <cell r="D70">
            <v>13.454599999999999</v>
          </cell>
        </row>
        <row r="71">
          <cell r="A71" t="str">
            <v>E337</v>
          </cell>
          <cell r="B71" t="str">
            <v>RÉGUA VIBRATÓRIA: WEBER: RV 4 - 4,25 M</v>
          </cell>
          <cell r="C71">
            <v>16.293600000000001</v>
          </cell>
          <cell r="D71">
            <v>13.454599999999999</v>
          </cell>
        </row>
        <row r="72">
          <cell r="A72" t="str">
            <v>E338</v>
          </cell>
          <cell r="B72" t="str">
            <v>SERRA DE JUNTAS: CLIPPER: DRW CLIPPER C 13 E - P/ CONCR.</v>
          </cell>
          <cell r="C72">
            <v>22.4818</v>
          </cell>
          <cell r="D72">
            <v>13.454599999999999</v>
          </cell>
        </row>
        <row r="73">
          <cell r="A73" t="str">
            <v>E400</v>
          </cell>
          <cell r="B73" t="str">
            <v>CAMINHÃO BASCULANTE: MERCEDES BENZ: ATEGO 1518/36 - 5 m3 - 8,8 t</v>
          </cell>
          <cell r="D73">
            <v>17.939399999999999</v>
          </cell>
        </row>
        <row r="74">
          <cell r="A74" t="str">
            <v>E402</v>
          </cell>
          <cell r="B74" t="str">
            <v>CAMINHÃO CARROCERIA: MERCEDES BENZ: 2726 K - DE MADEIRA - 15 t</v>
          </cell>
          <cell r="C74">
            <v>120.4585</v>
          </cell>
          <cell r="D74">
            <v>17.939399999999999</v>
          </cell>
        </row>
        <row r="75">
          <cell r="A75" t="str">
            <v>E403</v>
          </cell>
          <cell r="B75" t="str">
            <v>CAMINHÃO BASCULANTE: MERCEDES BENZ: LK 1620 - 6 m3 - 10,5 t</v>
          </cell>
          <cell r="D75">
            <v>17.939399999999999</v>
          </cell>
        </row>
        <row r="76">
          <cell r="A76" t="str">
            <v>E404</v>
          </cell>
          <cell r="B76" t="str">
            <v>CAMINHÃO BASCULANTE: MERCEDES BENZ: - 2726 K - 10 m3 - 15 t</v>
          </cell>
          <cell r="C76">
            <v>123.3065</v>
          </cell>
          <cell r="D76">
            <v>17.939399999999999</v>
          </cell>
        </row>
        <row r="77">
          <cell r="A77" t="str">
            <v>E405</v>
          </cell>
          <cell r="B77" t="str">
            <v xml:space="preserve">CAMINHÃO BASCULANTE: MERCEDES BENZ: - 2726 K - P/ ROCHA 8 m3-13 t </v>
          </cell>
          <cell r="D77">
            <v>17.939399999999999</v>
          </cell>
        </row>
        <row r="78">
          <cell r="A78" t="str">
            <v>E406</v>
          </cell>
          <cell r="B78" t="str">
            <v>CAMINHÃO TANQUE: MERCEDES BENZ: - ATEGO 1418/42 - 6000 l</v>
          </cell>
          <cell r="D78">
            <v>17.939399999999999</v>
          </cell>
        </row>
        <row r="79">
          <cell r="A79" t="str">
            <v>E407</v>
          </cell>
          <cell r="B79" t="str">
            <v>CAMINHÃO TANQUE: MERCEDES BENZ:  2726 K - 10.000 l</v>
          </cell>
          <cell r="D79">
            <v>17.939399999999999</v>
          </cell>
        </row>
        <row r="80">
          <cell r="A80" t="str">
            <v>E408</v>
          </cell>
          <cell r="B80" t="str">
            <v>CAMINHÃO CARROCERIA: MERCEDES BENZ: 710/37 - 4 t</v>
          </cell>
          <cell r="D80">
            <v>17.939399999999999</v>
          </cell>
        </row>
        <row r="81">
          <cell r="A81" t="str">
            <v>E409</v>
          </cell>
          <cell r="B81" t="str">
            <v>CAMINHÃO CARROCERIA: MERCEDES BENZ: ATEGO 1418/42- FIXA 9 t</v>
          </cell>
          <cell r="D81">
            <v>17.939399999999999</v>
          </cell>
        </row>
        <row r="82">
          <cell r="A82" t="str">
            <v>E412</v>
          </cell>
          <cell r="B82" t="str">
            <v>VEÍCULO LEVE: VOLKSWAGEN: GOL 1000 - AUTOMÓVEL ATÉ 100 HP</v>
          </cell>
          <cell r="D82">
            <v>16.2576</v>
          </cell>
        </row>
        <row r="83">
          <cell r="A83" t="str">
            <v>E416</v>
          </cell>
          <cell r="B83" t="str">
            <v>VEÍCULO LEVE: CHEVROLET: S10 - PICK-UP (4x4)</v>
          </cell>
          <cell r="D83">
            <v>16.2576</v>
          </cell>
        </row>
        <row r="84">
          <cell r="A84" t="str">
            <v>E422</v>
          </cell>
          <cell r="B84" t="str">
            <v>CAMINHÃO TANQUE: MERCEDES BENZ: L1620/51 - 8.000 l</v>
          </cell>
          <cell r="D84">
            <v>17.939399999999999</v>
          </cell>
        </row>
        <row r="85">
          <cell r="A85" t="str">
            <v>E427</v>
          </cell>
          <cell r="B85" t="str">
            <v>CAMINHÃO BETONEIRA: VOLKSWAGEN: 26-260 - 11,5 T - 5 M3</v>
          </cell>
          <cell r="C85">
            <v>129.37389999999999</v>
          </cell>
          <cell r="D85">
            <v>17.939399999999999</v>
          </cell>
        </row>
        <row r="86">
          <cell r="A86" t="str">
            <v>E432</v>
          </cell>
          <cell r="B86" t="str">
            <v>CAMINHÃO BASCULANTE: VOLVO: FMX 6X4R - 40 t</v>
          </cell>
          <cell r="D86">
            <v>17.939399999999999</v>
          </cell>
        </row>
        <row r="87">
          <cell r="A87" t="str">
            <v>E433</v>
          </cell>
          <cell r="B87" t="str">
            <v xml:space="preserve">CAMINHÃO BASCULANTE: MERCEDES BENZ: 2726 - P/ ROCHA 18 t </v>
          </cell>
          <cell r="D87">
            <v>17.939399999999999</v>
          </cell>
        </row>
        <row r="88">
          <cell r="A88" t="str">
            <v>E434</v>
          </cell>
          <cell r="B88" t="str">
            <v>CAMINHÃO CARROCERIA: MERCEDES BENZ: L 1620/51 - C/ GUINDAUTO 6 t x m</v>
          </cell>
          <cell r="C88">
            <v>89.133600000000001</v>
          </cell>
          <cell r="D88">
            <v>17.939399999999999</v>
          </cell>
        </row>
        <row r="90">
          <cell r="A90" t="str">
            <v>E501</v>
          </cell>
          <cell r="B90" t="str">
            <v>GRUPO GERADOR: HEIMER: GEHM-40 - 36/40 KVA</v>
          </cell>
          <cell r="D90">
            <v>15.1364</v>
          </cell>
        </row>
        <row r="91">
          <cell r="A91" t="str">
            <v>E502</v>
          </cell>
          <cell r="B91" t="str">
            <v>GRUPO GERADOR: HEIMER: GEHM-150 - 136/150 KVA</v>
          </cell>
          <cell r="D91">
            <v>15.1364</v>
          </cell>
        </row>
        <row r="92">
          <cell r="A92" t="str">
            <v>E503</v>
          </cell>
          <cell r="B92" t="str">
            <v>GRUPO GERADOR: HEIMER: GEHM-180 - 164/180 KVA</v>
          </cell>
          <cell r="D92">
            <v>15.1364</v>
          </cell>
        </row>
        <row r="93">
          <cell r="A93" t="str">
            <v>E504</v>
          </cell>
          <cell r="B93" t="str">
            <v>GRUPO GERADOR: HEIMER: GEHMB-360 - 288 KVA</v>
          </cell>
          <cell r="D93">
            <v>15.1364</v>
          </cell>
        </row>
        <row r="94">
          <cell r="A94" t="str">
            <v>E505</v>
          </cell>
          <cell r="B94" t="str">
            <v>GRUPO GERADOR: HEIMER: GEHB-17 KVA - 17,0/15,5KVA</v>
          </cell>
          <cell r="D94">
            <v>15.1364</v>
          </cell>
        </row>
        <row r="95">
          <cell r="A95" t="str">
            <v>E508</v>
          </cell>
          <cell r="B95" t="str">
            <v>GRUPO GERADOR: PRAMAC: BL 6500 E - MANUAL/ELÉTRICO</v>
          </cell>
          <cell r="C95">
            <v>21.093699999999998</v>
          </cell>
          <cell r="D95">
            <v>15.1364</v>
          </cell>
        </row>
        <row r="96">
          <cell r="A96" t="str">
            <v>E509</v>
          </cell>
          <cell r="B96" t="str">
            <v>GRUPO GERADOR: HEIMER: GEHMI-40 - 32,0 KVA</v>
          </cell>
          <cell r="C96">
            <v>29.5504</v>
          </cell>
          <cell r="D96">
            <v>15.1364</v>
          </cell>
        </row>
        <row r="99">
          <cell r="A99" t="str">
            <v>E903</v>
          </cell>
          <cell r="B99" t="str">
            <v>BATE-ESTACAS: MAGAM: IM-1450 PM/E - DE GRAVIDADE P/ 3500 A 4000 kg</v>
          </cell>
          <cell r="C99">
            <v>115.1918</v>
          </cell>
          <cell r="D99">
            <v>15.1364</v>
          </cell>
        </row>
        <row r="100">
          <cell r="A100" t="str">
            <v>E904</v>
          </cell>
          <cell r="B100" t="str">
            <v xml:space="preserve">MÁQUINA DE BANCADA: MAKSIWA: SCMA - SERRA CIRCULAR DE 12'' </v>
          </cell>
          <cell r="D100">
            <v>0</v>
          </cell>
        </row>
        <row r="101">
          <cell r="A101" t="str">
            <v>E905</v>
          </cell>
          <cell r="B101" t="str">
            <v>MÁQUINA MANUAL: TIRFOR: TU-L 30 - TALHA GUINCHO PARA 3 T</v>
          </cell>
          <cell r="D101">
            <v>0</v>
          </cell>
        </row>
        <row r="102">
          <cell r="A102" t="str">
            <v>E906</v>
          </cell>
          <cell r="B102" t="str">
            <v>COMPACTADOR MANUAL: WACKER: ES 60 - SOQUETE VIBRATÓRIO</v>
          </cell>
          <cell r="D102">
            <v>13.454599999999999</v>
          </cell>
        </row>
        <row r="103">
          <cell r="A103" t="str">
            <v>E907</v>
          </cell>
          <cell r="B103" t="str">
            <v>CONJUNTO MOTO-BOMBA: HERO: 180-SH-75- COM MOTOR</v>
          </cell>
          <cell r="D103">
            <v>0</v>
          </cell>
        </row>
        <row r="104">
          <cell r="A104" t="str">
            <v>E908</v>
          </cell>
          <cell r="B104" t="str">
            <v>MÁQ. P/ PINTURA: CONSMAQ: 44 - DEMARCAÇÃO DE FAIXA AUTOPROP</v>
          </cell>
          <cell r="D104">
            <v>20.7425</v>
          </cell>
        </row>
        <row r="105">
          <cell r="A105" t="str">
            <v>E909</v>
          </cell>
          <cell r="B105" t="str">
            <v>EQUIP. PARA HIDROSSEMEADURA: M. BENZ/CONSMAQ: 1420 - 5500 l</v>
          </cell>
          <cell r="D105">
            <v>17.939399999999999</v>
          </cell>
        </row>
        <row r="106">
          <cell r="A106" t="str">
            <v>E910</v>
          </cell>
          <cell r="B106" t="str">
            <v>MÁQUINA MANUAL: BOSCH:1361 - ESMERILHADEIRA DE DISCO</v>
          </cell>
          <cell r="D106">
            <v>0</v>
          </cell>
        </row>
        <row r="107">
          <cell r="A107" t="str">
            <v>E912</v>
          </cell>
          <cell r="B107" t="str">
            <v>MÁQUINA MANUAL: BOSCH: GBS 20-2 - FURADEIRA ELÉT. IMPACTO</v>
          </cell>
          <cell r="C107">
            <v>0.45329999999999998</v>
          </cell>
          <cell r="D107">
            <v>0</v>
          </cell>
        </row>
        <row r="108">
          <cell r="A108" t="str">
            <v>E914</v>
          </cell>
          <cell r="B108" t="str">
            <v>COMPACTADOR MANUAL: WACKER: VP-2050 Y - PLACA VIBRATÓRIA C/ MOTOR</v>
          </cell>
          <cell r="D108">
            <v>13.454599999999999</v>
          </cell>
        </row>
        <row r="109">
          <cell r="A109" t="str">
            <v>E917</v>
          </cell>
          <cell r="B109" t="str">
            <v>MAQ. DE BANCADA: FRANHO: C-6A UNIVERSAL DE CORTE P/ CHAPA</v>
          </cell>
          <cell r="D109">
            <v>13.454599999999999</v>
          </cell>
        </row>
        <row r="110">
          <cell r="A110" t="str">
            <v>E918</v>
          </cell>
          <cell r="B110" t="str">
            <v>MÁQ. DE BANCADA: HARLO: VF-8 - PRENSA EXCÊNTRICA</v>
          </cell>
          <cell r="D110">
            <v>0</v>
          </cell>
        </row>
        <row r="111">
          <cell r="A111" t="str">
            <v>E919</v>
          </cell>
          <cell r="B111" t="str">
            <v>MÁQ. DE BANCADA: COR DOB IND. E COM. DE MÁQUINAS: GHP 2.5X2030MM - GUILHOTINA 8 t</v>
          </cell>
          <cell r="D111">
            <v>0</v>
          </cell>
        </row>
        <row r="112">
          <cell r="A112" t="str">
            <v>E920</v>
          </cell>
          <cell r="B112" t="str">
            <v>MÁQ. P/ PINTURA: ELGIMAQ: H 16-3 - FAIXA A QUENTE P/ MAT. TERM</v>
          </cell>
          <cell r="D112">
            <v>20.7425</v>
          </cell>
        </row>
        <row r="113">
          <cell r="A113" t="str">
            <v>E921</v>
          </cell>
          <cell r="B113" t="str">
            <v>FUSOR: ELGIMAQ: - 500 l</v>
          </cell>
          <cell r="D113">
            <v>0</v>
          </cell>
        </row>
        <row r="114">
          <cell r="A114" t="str">
            <v>E922</v>
          </cell>
          <cell r="B114" t="str">
            <v>MARTELETE: BOSCH: GBH 5-40 DCE - PERFURADOR/ROMPEDOR ELET 11316</v>
          </cell>
          <cell r="D114">
            <v>13.454599999999999</v>
          </cell>
        </row>
        <row r="115">
          <cell r="A115" t="str">
            <v>E924</v>
          </cell>
          <cell r="B115" t="str">
            <v>EQUIP. P/ SOLDA: MAX BANTAM: BANTAM 250 SERRALHEIRO - TRANSFORMADOR SOLDA ELETR. 250 AMP</v>
          </cell>
          <cell r="C115">
            <v>3.1082000000000001</v>
          </cell>
          <cell r="D115">
            <v>0</v>
          </cell>
        </row>
      </sheetData>
      <sheetData sheetId="4">
        <row r="1">
          <cell r="B1" t="str">
            <v>CUSTO HORÁRIO DE MÃO-DE-OBRA</v>
          </cell>
          <cell r="D1">
            <v>40664</v>
          </cell>
        </row>
        <row r="2">
          <cell r="A2" t="str">
            <v>CÓDIGO</v>
          </cell>
          <cell r="B2" t="str">
            <v>PROFISSÃO</v>
          </cell>
          <cell r="C2" t="str">
            <v>P.SALARIAL</v>
          </cell>
          <cell r="D2" t="str">
            <v>SAL/HORA</v>
          </cell>
        </row>
        <row r="3">
          <cell r="A3" t="str">
            <v>T302</v>
          </cell>
          <cell r="B3" t="str">
            <v>MOTORISTA DE CAMINHÃO</v>
          </cell>
          <cell r="C3">
            <v>3.2</v>
          </cell>
          <cell r="D3">
            <v>17.939419999999998</v>
          </cell>
        </row>
        <row r="4">
          <cell r="A4" t="str">
            <v>T312</v>
          </cell>
          <cell r="B4" t="str">
            <v>OPERADOR DE EQUIP. LEVE 2</v>
          </cell>
          <cell r="C4">
            <v>2.7</v>
          </cell>
          <cell r="D4">
            <v>15.13639</v>
          </cell>
        </row>
        <row r="5">
          <cell r="A5" t="str">
            <v>T314</v>
          </cell>
          <cell r="B5" t="str">
            <v>OPERADOR DE EQUIP. ESPECIAL</v>
          </cell>
          <cell r="C5">
            <v>3.7</v>
          </cell>
          <cell r="D5">
            <v>20.742460000000001</v>
          </cell>
        </row>
        <row r="6">
          <cell r="A6" t="str">
            <v>T401</v>
          </cell>
          <cell r="B6" t="str">
            <v>PRÉ-MARCADOR</v>
          </cell>
          <cell r="C6">
            <v>3.7</v>
          </cell>
          <cell r="D6">
            <v>20.742460000000001</v>
          </cell>
        </row>
        <row r="7">
          <cell r="A7" t="str">
            <v>T501</v>
          </cell>
          <cell r="B7" t="str">
            <v>ENCARREGADO DE TURMA</v>
          </cell>
          <cell r="C7">
            <v>4.0999999999999996</v>
          </cell>
          <cell r="D7">
            <v>22.98488</v>
          </cell>
        </row>
        <row r="8">
          <cell r="A8" t="str">
            <v>T511</v>
          </cell>
          <cell r="B8" t="str">
            <v>ENCARREGADO DE PAVIMENTAÇÃO</v>
          </cell>
          <cell r="C8">
            <v>7</v>
          </cell>
          <cell r="D8">
            <v>39.24248</v>
          </cell>
        </row>
        <row r="9">
          <cell r="A9" t="str">
            <v>T512</v>
          </cell>
          <cell r="B9" t="str">
            <v>ENCARREGADO DE BRITAGEM</v>
          </cell>
          <cell r="C9">
            <v>7</v>
          </cell>
          <cell r="D9">
            <v>39.24248</v>
          </cell>
        </row>
        <row r="10">
          <cell r="A10" t="str">
            <v>T601</v>
          </cell>
          <cell r="B10" t="str">
            <v>BLASTER</v>
          </cell>
          <cell r="C10">
            <v>4.0999999999999996</v>
          </cell>
          <cell r="D10">
            <v>22.98488</v>
          </cell>
        </row>
        <row r="11">
          <cell r="A11" t="str">
            <v>T602</v>
          </cell>
          <cell r="B11" t="str">
            <v>MONTADOR</v>
          </cell>
          <cell r="C11">
            <v>1.99</v>
          </cell>
          <cell r="D11">
            <v>11.156079999999999</v>
          </cell>
        </row>
        <row r="12">
          <cell r="A12" t="str">
            <v>T603</v>
          </cell>
          <cell r="B12" t="str">
            <v>CARPINTEIRO</v>
          </cell>
          <cell r="C12">
            <v>1.99</v>
          </cell>
          <cell r="D12">
            <v>11.156079999999999</v>
          </cell>
        </row>
        <row r="13">
          <cell r="A13" t="str">
            <v>T604</v>
          </cell>
          <cell r="B13" t="str">
            <v>PEDREIRO</v>
          </cell>
          <cell r="C13">
            <v>1.99</v>
          </cell>
          <cell r="D13">
            <v>11.156079999999999</v>
          </cell>
        </row>
        <row r="14">
          <cell r="A14" t="str">
            <v>T605</v>
          </cell>
          <cell r="B14" t="str">
            <v>ARMADOR</v>
          </cell>
          <cell r="C14">
            <v>1.99</v>
          </cell>
          <cell r="D14">
            <v>11.156079999999999</v>
          </cell>
        </row>
        <row r="15">
          <cell r="A15" t="str">
            <v>T607</v>
          </cell>
          <cell r="B15" t="str">
            <v>PINTOR</v>
          </cell>
          <cell r="C15">
            <v>1.99</v>
          </cell>
          <cell r="D15">
            <v>11.156079999999999</v>
          </cell>
        </row>
        <row r="16">
          <cell r="A16" t="str">
            <v>T608</v>
          </cell>
          <cell r="B16" t="str">
            <v>SOLDADOR</v>
          </cell>
          <cell r="C16">
            <v>1.99</v>
          </cell>
          <cell r="D16">
            <v>11.156079999999999</v>
          </cell>
        </row>
        <row r="17">
          <cell r="A17" t="str">
            <v>T609</v>
          </cell>
          <cell r="B17" t="str">
            <v>JARDINEIRO</v>
          </cell>
          <cell r="C17">
            <v>1.99</v>
          </cell>
          <cell r="D17">
            <v>11.156079999999999</v>
          </cell>
        </row>
        <row r="18">
          <cell r="A18" t="str">
            <v>T610</v>
          </cell>
          <cell r="B18" t="str">
            <v>SERRALHEIRO</v>
          </cell>
          <cell r="C18">
            <v>1.99</v>
          </cell>
          <cell r="D18">
            <v>11.156079999999999</v>
          </cell>
        </row>
        <row r="19">
          <cell r="A19" t="str">
            <v>T701</v>
          </cell>
          <cell r="B19" t="str">
            <v>SERVENTE</v>
          </cell>
          <cell r="C19">
            <v>1.41</v>
          </cell>
          <cell r="D19">
            <v>7.90456</v>
          </cell>
        </row>
        <row r="20">
          <cell r="A20" t="str">
            <v>T702</v>
          </cell>
          <cell r="B20" t="str">
            <v>AJUDANTE</v>
          </cell>
          <cell r="C20">
            <v>1.54</v>
          </cell>
          <cell r="D20">
            <v>8.6333500000000001</v>
          </cell>
        </row>
        <row r="21">
          <cell r="A21" t="str">
            <v>T801</v>
          </cell>
          <cell r="B21" t="str">
            <v>PERFURADOR DE TUBULÃO</v>
          </cell>
          <cell r="C21">
            <v>2.8</v>
          </cell>
          <cell r="D21">
            <v>15.696999999999999</v>
          </cell>
        </row>
        <row r="23">
          <cell r="B23" t="str">
            <v>PARÂMETROS</v>
          </cell>
        </row>
        <row r="24">
          <cell r="B24" t="str">
            <v>ENCARGOS SOCIAIS</v>
          </cell>
          <cell r="C24">
            <v>1.2629999999999999</v>
          </cell>
        </row>
        <row r="25">
          <cell r="B25" t="str">
            <v>HORAS NO MÊS</v>
          </cell>
          <cell r="C25">
            <v>220</v>
          </cell>
        </row>
        <row r="26">
          <cell r="B26" t="str">
            <v>SALÁRIO BASE</v>
          </cell>
          <cell r="C26">
            <v>545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5"/>
  <sheetViews>
    <sheetView showGridLines="0" view="pageBreakPreview" workbookViewId="0">
      <selection activeCell="E26" sqref="E26"/>
    </sheetView>
  </sheetViews>
  <sheetFormatPr defaultColWidth="11.42578125" defaultRowHeight="12.75"/>
  <cols>
    <col min="1" max="1" width="9.140625" customWidth="1"/>
    <col min="2" max="2" width="11.7109375" style="20" customWidth="1"/>
    <col min="3" max="3" width="55.7109375" customWidth="1"/>
    <col min="4" max="4" width="14.5703125" style="12" customWidth="1"/>
    <col min="5" max="5" width="28" customWidth="1"/>
  </cols>
  <sheetData>
    <row r="1" spans="1:5">
      <c r="B1" s="10"/>
      <c r="C1" s="11"/>
    </row>
    <row r="2" spans="1:5" ht="53.1" customHeight="1">
      <c r="B2" s="55"/>
      <c r="C2" s="55"/>
      <c r="D2" s="56"/>
      <c r="E2" s="55"/>
    </row>
    <row r="3" spans="1:5" ht="30" customHeight="1">
      <c r="B3" s="57"/>
      <c r="C3" s="58"/>
      <c r="D3" s="59"/>
      <c r="E3" s="60"/>
    </row>
    <row r="4" spans="1:5" ht="30" customHeight="1">
      <c r="B4" s="57"/>
      <c r="C4" s="58"/>
      <c r="D4" s="59"/>
      <c r="E4" s="60"/>
    </row>
    <row r="5" spans="1:5" ht="30" customHeight="1">
      <c r="B5" s="57"/>
      <c r="C5" s="58"/>
      <c r="D5" s="59"/>
      <c r="E5" s="60"/>
    </row>
    <row r="6" spans="1:5" ht="30" customHeight="1">
      <c r="B6" s="57"/>
      <c r="C6" s="58"/>
      <c r="D6" s="59"/>
      <c r="E6" s="60"/>
    </row>
    <row r="7" spans="1:5" ht="30" customHeight="1">
      <c r="B7" s="57"/>
      <c r="C7" s="58"/>
      <c r="D7" s="59"/>
      <c r="E7" s="60"/>
    </row>
    <row r="8" spans="1:5" ht="30" customHeight="1">
      <c r="B8" s="57"/>
      <c r="C8" s="58"/>
      <c r="D8" s="59"/>
      <c r="E8" s="60"/>
    </row>
    <row r="9" spans="1:5" ht="30" customHeight="1">
      <c r="B9" s="57"/>
      <c r="C9" s="58"/>
      <c r="D9" s="59"/>
      <c r="E9" s="60"/>
    </row>
    <row r="10" spans="1:5" ht="30" customHeight="1">
      <c r="B10" s="57"/>
      <c r="C10" s="58"/>
      <c r="D10" s="59"/>
      <c r="E10" s="60"/>
    </row>
    <row r="11" spans="1:5" ht="30" customHeight="1">
      <c r="B11" s="57"/>
      <c r="C11" s="58"/>
      <c r="D11" s="59"/>
      <c r="E11" s="60"/>
    </row>
    <row r="12" spans="1:5" ht="30" customHeight="1">
      <c r="B12" s="57"/>
      <c r="C12" s="58"/>
      <c r="D12" s="59"/>
      <c r="E12" s="60"/>
    </row>
    <row r="13" spans="1:5" ht="30" customHeight="1">
      <c r="B13" s="57"/>
      <c r="C13" s="58"/>
      <c r="D13" s="59"/>
      <c r="E13" s="60"/>
    </row>
    <row r="14" spans="1:5" ht="30" customHeight="1">
      <c r="B14" s="57"/>
      <c r="C14" s="58"/>
      <c r="D14" s="59"/>
      <c r="E14" s="60"/>
    </row>
    <row r="15" spans="1:5" ht="30" customHeight="1">
      <c r="B15" s="57"/>
      <c r="C15" s="58"/>
      <c r="D15" s="59"/>
      <c r="E15" s="60"/>
    </row>
    <row r="16" spans="1:5" ht="30" customHeight="1">
      <c r="A16" s="33"/>
      <c r="B16" s="57"/>
      <c r="C16" s="58"/>
      <c r="D16" s="59"/>
      <c r="E16" s="60"/>
    </row>
    <row r="17" spans="1:5" ht="30" customHeight="1">
      <c r="B17" s="57"/>
      <c r="C17" s="58"/>
      <c r="D17" s="59"/>
      <c r="E17" s="60"/>
    </row>
    <row r="18" spans="1:5" ht="30" customHeight="1">
      <c r="A18" s="33"/>
      <c r="B18" s="57"/>
      <c r="C18" s="58"/>
      <c r="D18" s="59"/>
      <c r="E18" s="60"/>
    </row>
    <row r="19" spans="1:5" ht="30" customHeight="1">
      <c r="A19" s="33"/>
      <c r="B19" s="57"/>
      <c r="C19" s="58"/>
      <c r="D19" s="59"/>
      <c r="E19" s="60"/>
    </row>
    <row r="20" spans="1:5" ht="30" customHeight="1">
      <c r="A20" s="33"/>
      <c r="B20" s="57"/>
      <c r="C20" s="58"/>
      <c r="D20" s="59"/>
      <c r="E20" s="60"/>
    </row>
    <row r="21" spans="1:5" ht="30" customHeight="1">
      <c r="A21" s="33"/>
      <c r="B21" s="57"/>
      <c r="C21" s="58"/>
      <c r="D21" s="59"/>
      <c r="E21" s="60"/>
    </row>
    <row r="22" spans="1:5" ht="30" customHeight="1">
      <c r="A22" s="33"/>
      <c r="B22" s="339" t="s">
        <v>709</v>
      </c>
      <c r="C22" s="339"/>
      <c r="D22" s="339"/>
      <c r="E22" s="339"/>
    </row>
    <row r="23" spans="1:5" ht="30" customHeight="1">
      <c r="A23" s="33"/>
      <c r="B23" s="57"/>
      <c r="C23" s="58"/>
      <c r="D23" s="59"/>
      <c r="E23" s="61"/>
    </row>
    <row r="24" spans="1:5" ht="30" customHeight="1">
      <c r="B24" s="57"/>
      <c r="C24" s="62"/>
      <c r="D24" s="59"/>
      <c r="E24" s="60"/>
    </row>
    <row r="25" spans="1:5" ht="30" customHeight="1">
      <c r="B25" s="57"/>
      <c r="C25" s="58"/>
      <c r="D25" s="63"/>
      <c r="E25" s="64"/>
    </row>
    <row r="26" spans="1:5" ht="30" customHeight="1">
      <c r="B26" s="57"/>
      <c r="C26" s="58"/>
      <c r="D26" s="63"/>
      <c r="E26" s="64"/>
    </row>
    <row r="27" spans="1:5" ht="13.5" thickBot="1">
      <c r="B27" s="65"/>
      <c r="C27" s="66"/>
      <c r="D27" s="67"/>
      <c r="E27" s="68"/>
    </row>
    <row r="28" spans="1:5" ht="39.950000000000003" customHeight="1" thickTop="1" thickBot="1">
      <c r="B28" s="352" t="s">
        <v>231</v>
      </c>
      <c r="C28" s="353"/>
      <c r="D28" s="353"/>
      <c r="E28" s="354"/>
    </row>
    <row r="29" spans="1:5" ht="39.950000000000003" customHeight="1" thickTop="1" thickBot="1">
      <c r="B29" s="355" t="s">
        <v>678</v>
      </c>
      <c r="C29" s="356"/>
      <c r="D29" s="356"/>
      <c r="E29" s="357"/>
    </row>
    <row r="30" spans="1:5" ht="20.100000000000001" customHeight="1" thickTop="1">
      <c r="B30" s="358" t="s">
        <v>230</v>
      </c>
      <c r="C30" s="359" t="s">
        <v>977</v>
      </c>
      <c r="D30" s="360" t="s">
        <v>287</v>
      </c>
      <c r="E30" s="361"/>
    </row>
    <row r="31" spans="1:5" ht="20.100000000000001" customHeight="1" thickBot="1">
      <c r="B31" s="341"/>
      <c r="C31" s="343"/>
      <c r="D31" s="362"/>
      <c r="E31" s="363"/>
    </row>
    <row r="32" spans="1:5" ht="20.100000000000001" customHeight="1">
      <c r="B32" s="340" t="s">
        <v>138</v>
      </c>
      <c r="C32" s="342" t="s">
        <v>679</v>
      </c>
      <c r="D32" s="31" t="s">
        <v>233</v>
      </c>
      <c r="E32" s="32"/>
    </row>
    <row r="33" spans="2:5" ht="20.100000000000001" customHeight="1">
      <c r="B33" s="341"/>
      <c r="C33" s="343"/>
      <c r="D33" s="344" t="s">
        <v>1416</v>
      </c>
      <c r="E33" s="345"/>
    </row>
    <row r="34" spans="2:5" ht="20.100000000000001" customHeight="1">
      <c r="B34" s="340" t="s">
        <v>139</v>
      </c>
      <c r="C34" s="342" t="s">
        <v>140</v>
      </c>
      <c r="D34" s="348" t="s">
        <v>1415</v>
      </c>
      <c r="E34" s="349"/>
    </row>
    <row r="35" spans="2:5" ht="20.100000000000001" customHeight="1" thickBot="1">
      <c r="B35" s="346"/>
      <c r="C35" s="347"/>
      <c r="D35" s="350"/>
      <c r="E35" s="351"/>
    </row>
  </sheetData>
  <mergeCells count="12">
    <mergeCell ref="B22:E22"/>
    <mergeCell ref="B32:B33"/>
    <mergeCell ref="C32:C33"/>
    <mergeCell ref="D33:E33"/>
    <mergeCell ref="B34:B35"/>
    <mergeCell ref="C34:C35"/>
    <mergeCell ref="D34:E35"/>
    <mergeCell ref="B28:E28"/>
    <mergeCell ref="B29:E29"/>
    <mergeCell ref="B30:B31"/>
    <mergeCell ref="C30:C31"/>
    <mergeCell ref="D30:E31"/>
  </mergeCells>
  <printOptions gridLinesSet="0"/>
  <pageMargins left="1.3779527559055118" right="0.78740157480314965" top="1.4960629921259843" bottom="1.1023622047244095" header="0.51181102362204722" footer="0.51181102362204722"/>
  <pageSetup paperSize="9" scale="67" orientation="portrait" r:id="rId1"/>
  <headerFooter alignWithMargins="0">
    <oddFooter>&amp;L&amp;5&amp;F&amp;R&amp;5AFA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showGridLines="0" view="pageBreakPreview" zoomScale="80" zoomScaleSheetLayoutView="80" workbookViewId="0">
      <selection activeCell="D12" sqref="D12"/>
    </sheetView>
  </sheetViews>
  <sheetFormatPr defaultColWidth="11.42578125" defaultRowHeight="12.75"/>
  <cols>
    <col min="1" max="1" width="12.28515625" customWidth="1"/>
    <col min="2" max="2" width="11.7109375" style="20" customWidth="1"/>
    <col min="3" max="3" width="55.7109375" customWidth="1"/>
    <col min="4" max="4" width="14.5703125" style="12" customWidth="1"/>
    <col min="5" max="5" width="28" customWidth="1"/>
  </cols>
  <sheetData>
    <row r="1" spans="1:5" ht="13.5" thickBot="1">
      <c r="B1" s="10"/>
      <c r="C1" s="11"/>
    </row>
    <row r="2" spans="1:5" ht="53.1" customHeight="1" thickBot="1">
      <c r="B2" s="335" t="s">
        <v>43</v>
      </c>
      <c r="C2" s="336" t="s">
        <v>133</v>
      </c>
      <c r="D2" s="337" t="s">
        <v>134</v>
      </c>
      <c r="E2" s="338" t="s">
        <v>135</v>
      </c>
    </row>
    <row r="3" spans="1:5" ht="30" customHeight="1" thickTop="1">
      <c r="A3" t="s">
        <v>141</v>
      </c>
      <c r="B3" s="13">
        <v>1</v>
      </c>
      <c r="C3" s="14" t="str">
        <f>VLOOKUP(B3,demonstrativo!A:G,3,FALSE)</f>
        <v>ESTRUTURA CONCRETO</v>
      </c>
      <c r="D3" s="15">
        <f>TRUNC(E3/$E$26*100,2)</f>
        <v>2.44</v>
      </c>
      <c r="E3" s="16">
        <f>VLOOKUP(A3,demonstrativo!A:G,7,FALSE)</f>
        <v>1133438.81</v>
      </c>
    </row>
    <row r="4" spans="1:5" ht="30" customHeight="1">
      <c r="A4" t="s">
        <v>142</v>
      </c>
      <c r="B4" s="13">
        <v>2</v>
      </c>
      <c r="C4" s="14" t="str">
        <f>VLOOKUP(B4,demonstrativo!A:G,3,FALSE)</f>
        <v>TERRAPLENAGEM</v>
      </c>
      <c r="D4" s="15">
        <f>ROUND(E4/$E$26*100,2)</f>
        <v>5.99</v>
      </c>
      <c r="E4" s="16">
        <f>VLOOKUP(A4,demonstrativo!A:G,7,FALSE)</f>
        <v>2776385.8599999989</v>
      </c>
    </row>
    <row r="5" spans="1:5" ht="30" customHeight="1">
      <c r="A5" t="s">
        <v>143</v>
      </c>
      <c r="B5" s="202">
        <v>3</v>
      </c>
      <c r="C5" s="203" t="str">
        <f>VLOOKUP(B5,demonstrativo!A:G,3,FALSE)</f>
        <v>PAVIMENTAÇÃO</v>
      </c>
      <c r="D5" s="204">
        <f>ROUND(E5/$E$26*100,2)</f>
        <v>40.29</v>
      </c>
      <c r="E5" s="205">
        <f>VLOOKUP(A5,demonstrativo!A:G,7,FALSE)</f>
        <v>18667544.310000006</v>
      </c>
    </row>
    <row r="6" spans="1:5" ht="30" customHeight="1">
      <c r="A6" t="s">
        <v>144</v>
      </c>
      <c r="B6" s="202">
        <v>4</v>
      </c>
      <c r="C6" s="203" t="str">
        <f>VLOOKUP(B6,demonstrativo!A:G,3,FALSE)</f>
        <v>DRENAGEM / OAC</v>
      </c>
      <c r="D6" s="204">
        <f>ROUND(E6/$E$26*100,2)</f>
        <v>18.649999999999999</v>
      </c>
      <c r="E6" s="205">
        <f>VLOOKUP(A6,demonstrativo!A:G,7,FALSE)</f>
        <v>8641109.5299999993</v>
      </c>
    </row>
    <row r="7" spans="1:5" ht="30" customHeight="1">
      <c r="A7" t="s">
        <v>145</v>
      </c>
      <c r="B7" s="202">
        <v>5</v>
      </c>
      <c r="C7" s="203" t="str">
        <f>VLOOKUP(B7,demonstrativo!A:G,3,FALSE)</f>
        <v xml:space="preserve">PAISAGISMO </v>
      </c>
      <c r="D7" s="204">
        <f t="shared" ref="D7:D18" si="0">ROUND(E7/$E$26*100,2)</f>
        <v>4.3499999999999996</v>
      </c>
      <c r="E7" s="205">
        <f>VLOOKUP(A7,demonstrativo!A:G,7,FALSE)</f>
        <v>2013521.8000000003</v>
      </c>
    </row>
    <row r="8" spans="1:5" ht="30" customHeight="1">
      <c r="A8" t="s">
        <v>146</v>
      </c>
      <c r="B8" s="202">
        <v>6</v>
      </c>
      <c r="C8" s="203" t="str">
        <f>VLOOKUP(B8,demonstrativo!A:G,3,FALSE)</f>
        <v>OBRAS COMPLEMENTARES</v>
      </c>
      <c r="D8" s="204">
        <f t="shared" si="0"/>
        <v>0.87</v>
      </c>
      <c r="E8" s="205">
        <f>VLOOKUP(A8,demonstrativo!A:G,7,FALSE)</f>
        <v>402608.79999999993</v>
      </c>
    </row>
    <row r="9" spans="1:5" ht="30" customHeight="1">
      <c r="A9" t="s">
        <v>147</v>
      </c>
      <c r="B9" s="202">
        <v>7</v>
      </c>
      <c r="C9" s="203" t="str">
        <f>VLOOKUP(B9,demonstrativo!A:G,3,FALSE)</f>
        <v>SINALIZAÇÃO VIÁRIA</v>
      </c>
      <c r="D9" s="204">
        <f t="shared" si="0"/>
        <v>0.97</v>
      </c>
      <c r="E9" s="205">
        <f>VLOOKUP(A9,demonstrativo!A:G,7,FALSE)</f>
        <v>448355.69999999995</v>
      </c>
    </row>
    <row r="10" spans="1:5" ht="30" customHeight="1">
      <c r="A10" t="s">
        <v>148</v>
      </c>
      <c r="B10" s="202">
        <v>8</v>
      </c>
      <c r="C10" s="203" t="str">
        <f>VLOOKUP(B10,demonstrativo!A:G,3,FALSE)</f>
        <v>ILUMINAÇÃO PÚBLICA</v>
      </c>
      <c r="D10" s="204">
        <f t="shared" si="0"/>
        <v>2.36</v>
      </c>
      <c r="E10" s="205">
        <f>VLOOKUP(A10,demonstrativo!A:G,7,FALSE)</f>
        <v>1091660.7300000002</v>
      </c>
    </row>
    <row r="11" spans="1:5" ht="30" customHeight="1">
      <c r="A11" t="s">
        <v>149</v>
      </c>
      <c r="B11" s="202">
        <v>9</v>
      </c>
      <c r="C11" s="203" t="str">
        <f>VLOOKUP(B11,demonstrativo!A:G,3,FALSE)</f>
        <v>SEMAFORIZAÇÃO</v>
      </c>
      <c r="D11" s="204">
        <f t="shared" si="0"/>
        <v>0.78</v>
      </c>
      <c r="E11" s="205">
        <f>VLOOKUP(A11,demonstrativo!A:G,7,FALSE)</f>
        <v>359571</v>
      </c>
    </row>
    <row r="12" spans="1:5" ht="30" customHeight="1">
      <c r="A12" t="s">
        <v>150</v>
      </c>
      <c r="B12" s="202">
        <v>10</v>
      </c>
      <c r="C12" s="203" t="str">
        <f>VLOOKUP(B12,demonstrativo!A:G,3,FALSE)</f>
        <v>ESTAÇÃO VILA OLÍMPICA</v>
      </c>
      <c r="D12" s="204">
        <f t="shared" si="0"/>
        <v>6.28</v>
      </c>
      <c r="E12" s="205">
        <f>VLOOKUP(A12,demonstrativo!A:G,7,FALSE)</f>
        <v>2910503.55</v>
      </c>
    </row>
    <row r="13" spans="1:5" ht="30" customHeight="1">
      <c r="A13" t="s">
        <v>151</v>
      </c>
      <c r="B13" s="202">
        <v>11</v>
      </c>
      <c r="C13" s="203" t="str">
        <f>VLOOKUP(B13,demonstrativo!A:G,3,FALSE)</f>
        <v>AR CONDICIONADO - ESTAÇÃO VILA OLÍMPICA</v>
      </c>
      <c r="D13" s="204">
        <f t="shared" si="0"/>
        <v>0.16</v>
      </c>
      <c r="E13" s="205">
        <f>VLOOKUP(A13,demonstrativo!A:G,7,FALSE)</f>
        <v>74736.570000000007</v>
      </c>
    </row>
    <row r="14" spans="1:5" ht="30" customHeight="1">
      <c r="A14" t="s">
        <v>353</v>
      </c>
      <c r="B14" s="202">
        <v>12</v>
      </c>
      <c r="C14" s="203" t="str">
        <f>VLOOKUP(B14,demonstrativo!A:G,3,FALSE)</f>
        <v>INSTALAÇÕES HIDRO-SANITÁRIAS - ESTAÇÃO VILA OLÍMPICA</v>
      </c>
      <c r="D14" s="204">
        <f t="shared" si="0"/>
        <v>0.03</v>
      </c>
      <c r="E14" s="205">
        <f>VLOOKUP(A14,demonstrativo!A:G,7,FALSE)</f>
        <v>14132.140000000001</v>
      </c>
    </row>
    <row r="15" spans="1:5" ht="30" customHeight="1">
      <c r="A15" t="s">
        <v>634</v>
      </c>
      <c r="B15" s="202">
        <v>13</v>
      </c>
      <c r="C15" s="203" t="str">
        <f>VLOOKUP(B15,demonstrativo!A:G,3,FALSE)</f>
        <v>ESTAÇÃO FAGUNDES  VARELA</v>
      </c>
      <c r="D15" s="204">
        <f t="shared" si="0"/>
        <v>6.58</v>
      </c>
      <c r="E15" s="205">
        <f>VLOOKUP(A15,demonstrativo!A:G,7,FALSE)</f>
        <v>3046392.8799999994</v>
      </c>
    </row>
    <row r="16" spans="1:5" ht="30" customHeight="1">
      <c r="A16" t="s">
        <v>914</v>
      </c>
      <c r="B16" s="13">
        <v>14</v>
      </c>
      <c r="C16" s="14" t="str">
        <f>VLOOKUP(B16,demonstrativo!A:G,3,FALSE)</f>
        <v>AR CONDICIONADO - ESTAÇÃO FAGUNDES VARELA</v>
      </c>
      <c r="D16" s="15">
        <f t="shared" si="0"/>
        <v>0.16</v>
      </c>
      <c r="E16" s="16">
        <f>VLOOKUP(A16,demonstrativo!A:G,7,FALSE)</f>
        <v>74736.570000000007</v>
      </c>
    </row>
    <row r="17" spans="1:5" ht="30" customHeight="1">
      <c r="A17" t="s">
        <v>916</v>
      </c>
      <c r="B17" s="13">
        <v>15</v>
      </c>
      <c r="C17" s="14" t="str">
        <f>VLOOKUP(B17,demonstrativo!A:G,3,FALSE)</f>
        <v>INST. HIDRO-SANITÁRIAS - ESTAÇÃO FAGUNDES VARELA</v>
      </c>
      <c r="D17" s="15">
        <f t="shared" si="0"/>
        <v>0.02</v>
      </c>
      <c r="E17" s="16">
        <f>VLOOKUP(A17,demonstrativo!A:G,7,FALSE)</f>
        <v>9354.0400000000009</v>
      </c>
    </row>
    <row r="18" spans="1:5" ht="30" customHeight="1">
      <c r="A18" t="s">
        <v>1222</v>
      </c>
      <c r="B18" s="13">
        <v>16</v>
      </c>
      <c r="C18" s="14" t="str">
        <f>VLOOKUP(B18,demonstrativo!A:G,3,FALSE)</f>
        <v>ESTRUTURA METÁLICA</v>
      </c>
      <c r="D18" s="15">
        <f t="shared" si="0"/>
        <v>4.84</v>
      </c>
      <c r="E18" s="16">
        <f>VLOOKUP(A18,demonstrativo!A:G,7,FALSE)</f>
        <v>2240542.4700000002</v>
      </c>
    </row>
    <row r="19" spans="1:5" ht="30" customHeight="1">
      <c r="A19" t="s">
        <v>1366</v>
      </c>
      <c r="B19" s="13">
        <v>17</v>
      </c>
      <c r="C19" s="14" t="str">
        <f>VLOOKUP(B19,demonstrativo!A:G,3,FALSE)</f>
        <v>ILUMINAÇÃO - ADEQUAÇÃO DE REDE</v>
      </c>
      <c r="D19" s="15"/>
      <c r="E19" s="16"/>
    </row>
    <row r="20" spans="1:5" ht="30" customHeight="1">
      <c r="A20" s="33" t="s">
        <v>1595</v>
      </c>
      <c r="B20" s="13" t="s">
        <v>1357</v>
      </c>
      <c r="C20" s="14" t="s">
        <v>1368</v>
      </c>
      <c r="D20" s="15">
        <f>ROUND(E20/$E$26*100,2)</f>
        <v>0.67</v>
      </c>
      <c r="E20" s="16">
        <f>VLOOKUP(A20,demonstrativo!A:G,7,FALSE)</f>
        <v>311699.15000000002</v>
      </c>
    </row>
    <row r="21" spans="1:5" ht="30" customHeight="1">
      <c r="A21" s="33" t="s">
        <v>1367</v>
      </c>
      <c r="B21" s="13" t="s">
        <v>1367</v>
      </c>
      <c r="C21" s="14" t="s">
        <v>877</v>
      </c>
      <c r="D21" s="15">
        <f>ROUND(E21/$E$26*100,2)</f>
        <v>0.19</v>
      </c>
      <c r="E21" s="16">
        <f>VLOOKUP(A21,'Ilum mão de obra'!A:K,11,FALSE)</f>
        <v>87111.710000000021</v>
      </c>
    </row>
    <row r="22" spans="1:5" ht="30" customHeight="1">
      <c r="A22" s="33" t="s">
        <v>1360</v>
      </c>
      <c r="B22" s="13">
        <v>18</v>
      </c>
      <c r="C22" s="14" t="str">
        <f>VLOOKUP(B22,demonstrativo!A:G,3,FALSE)</f>
        <v>PLANO DE EXECUÇÃO DA OBRA</v>
      </c>
      <c r="D22" s="15">
        <f>ROUND(E22/$E$26*100,2)</f>
        <v>0.13</v>
      </c>
      <c r="E22" s="16">
        <f>VLOOKUP(A22,demonstrativo!A:G,7,FALSE)</f>
        <v>61898.400000000001</v>
      </c>
    </row>
    <row r="23" spans="1:5" ht="30" customHeight="1">
      <c r="A23" s="33" t="s">
        <v>1361</v>
      </c>
      <c r="B23" s="13">
        <v>19</v>
      </c>
      <c r="C23" s="14" t="str">
        <f>VLOOKUP(B23,demonstrativo!A:G,3,FALSE)</f>
        <v>ADMINISTRAÇÃO LOCAL</v>
      </c>
      <c r="D23" s="15">
        <f>ROUND(E23/$E$26*100,2)</f>
        <v>1.42</v>
      </c>
      <c r="E23" s="16">
        <f>VLOOKUP(A23,demonstrativo!A:G,7,FALSE)</f>
        <v>657678.46</v>
      </c>
    </row>
    <row r="24" spans="1:5" ht="30" customHeight="1">
      <c r="A24" s="33" t="s">
        <v>1363</v>
      </c>
      <c r="B24" s="13">
        <v>20</v>
      </c>
      <c r="C24" s="14" t="str">
        <f>VLOOKUP(B24,demonstrativo!A:G,3,FALSE)</f>
        <v>INSTALAÇÃO, OPERAÇÃO E MANUTENÇÃO DO CANTEIRO</v>
      </c>
      <c r="D24" s="15">
        <f>ROUND(E24/$E$26*100,2)</f>
        <v>2.82</v>
      </c>
      <c r="E24" s="16">
        <f>VLOOKUP(A24,demonstrativo!A:G,7,FALSE)</f>
        <v>1308565.4099999999</v>
      </c>
    </row>
    <row r="25" spans="1:5" ht="30" customHeight="1" thickBot="1">
      <c r="B25" s="21"/>
      <c r="C25" s="22"/>
      <c r="D25" s="23"/>
      <c r="E25" s="24"/>
    </row>
    <row r="26" spans="1:5" ht="14.25" thickTop="1" thickBot="1">
      <c r="B26" s="17"/>
      <c r="C26" s="18" t="s">
        <v>136</v>
      </c>
      <c r="D26" s="25">
        <v>100</v>
      </c>
      <c r="E26" s="19">
        <f>SUM(E3:E24)</f>
        <v>46331547.890000001</v>
      </c>
    </row>
    <row r="27" spans="1:5" ht="20.100000000000001" customHeight="1" thickTop="1" thickBot="1">
      <c r="B27" s="355" t="s">
        <v>231</v>
      </c>
      <c r="C27" s="356"/>
      <c r="D27" s="356"/>
      <c r="E27" s="357"/>
    </row>
    <row r="28" spans="1:5" ht="20.100000000000001" customHeight="1" thickTop="1" thickBot="1">
      <c r="B28" s="355" t="s">
        <v>678</v>
      </c>
      <c r="C28" s="356"/>
      <c r="D28" s="356"/>
      <c r="E28" s="357"/>
    </row>
    <row r="29" spans="1:5" ht="13.5" thickTop="1">
      <c r="B29" s="358" t="s">
        <v>230</v>
      </c>
      <c r="C29" s="359" t="s">
        <v>921</v>
      </c>
      <c r="D29" s="364" t="s">
        <v>287</v>
      </c>
      <c r="E29" s="365"/>
    </row>
    <row r="30" spans="1:5" ht="13.5" thickBot="1">
      <c r="B30" s="341"/>
      <c r="C30" s="343"/>
      <c r="D30" s="366" t="s">
        <v>137</v>
      </c>
      <c r="E30" s="367"/>
    </row>
    <row r="31" spans="1:5">
      <c r="B31" s="340" t="s">
        <v>138</v>
      </c>
      <c r="C31" s="342" t="s">
        <v>679</v>
      </c>
      <c r="D31" s="31" t="s">
        <v>233</v>
      </c>
      <c r="E31" s="32"/>
    </row>
    <row r="32" spans="1:5">
      <c r="B32" s="341"/>
      <c r="C32" s="343"/>
      <c r="D32" s="368" t="s">
        <v>234</v>
      </c>
      <c r="E32" s="345"/>
    </row>
    <row r="33" spans="2:5">
      <c r="B33" s="340" t="s">
        <v>139</v>
      </c>
      <c r="C33" s="342" t="s">
        <v>140</v>
      </c>
      <c r="D33" s="369" t="s">
        <v>1415</v>
      </c>
      <c r="E33" s="370"/>
    </row>
    <row r="34" spans="2:5" ht="13.5" thickBot="1">
      <c r="B34" s="346"/>
      <c r="C34" s="347"/>
      <c r="D34" s="30"/>
      <c r="E34" s="54" t="s">
        <v>1523</v>
      </c>
    </row>
  </sheetData>
  <mergeCells count="12">
    <mergeCell ref="D29:E29"/>
    <mergeCell ref="D30:E30"/>
    <mergeCell ref="D32:E32"/>
    <mergeCell ref="D33:E33"/>
    <mergeCell ref="B27:E27"/>
    <mergeCell ref="B33:B34"/>
    <mergeCell ref="B28:E28"/>
    <mergeCell ref="B29:B30"/>
    <mergeCell ref="B31:B32"/>
    <mergeCell ref="C29:C30"/>
    <mergeCell ref="C31:C32"/>
    <mergeCell ref="C33:C34"/>
  </mergeCells>
  <phoneticPr fontId="0" type="noConversion"/>
  <printOptions gridLinesSet="0"/>
  <pageMargins left="0.78740157480314965" right="0.78740157480314965" top="1.4960629921259843" bottom="0.70866141732283472" header="0.51181102362204722" footer="0.51181102362204722"/>
  <pageSetup paperSize="9" scale="79" orientation="portrait" r:id="rId1"/>
  <headerFooter alignWithMargins="0">
    <oddFooter>&amp;L&amp;5&amp;F&amp;R&amp;5AFA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1428"/>
  <sheetViews>
    <sheetView tabSelected="1" view="pageBreakPreview" zoomScale="120" zoomScaleSheetLayoutView="120" workbookViewId="0">
      <selection activeCell="C17" sqref="C16:C17"/>
    </sheetView>
  </sheetViews>
  <sheetFormatPr defaultRowHeight="11.25"/>
  <cols>
    <col min="1" max="1" width="6.7109375" style="211" customWidth="1"/>
    <col min="2" max="2" width="8.5703125" style="249" bestFit="1" customWidth="1"/>
    <col min="3" max="3" width="50.7109375" style="286" customWidth="1"/>
    <col min="4" max="4" width="4.7109375" style="211" customWidth="1"/>
    <col min="5" max="5" width="11.42578125" style="334" customWidth="1"/>
    <col min="6" max="6" width="12.85546875" style="334" customWidth="1"/>
    <col min="7" max="7" width="16.140625" style="334" customWidth="1"/>
    <col min="8" max="10" width="9.140625" style="211"/>
    <col min="11" max="11" width="29.140625" style="211" customWidth="1"/>
    <col min="12" max="16384" width="9.140625" style="211"/>
  </cols>
  <sheetData>
    <row r="1" spans="1:7" ht="30" customHeight="1">
      <c r="A1" s="175"/>
      <c r="B1" s="371" t="s">
        <v>677</v>
      </c>
      <c r="C1" s="372"/>
      <c r="D1" s="372"/>
      <c r="E1" s="372"/>
      <c r="F1" s="372"/>
      <c r="G1" s="373"/>
    </row>
    <row r="2" spans="1:7">
      <c r="A2" s="374" t="s">
        <v>42</v>
      </c>
      <c r="B2" s="375" t="s">
        <v>43</v>
      </c>
      <c r="C2" s="377" t="s">
        <v>44</v>
      </c>
      <c r="D2" s="378" t="s">
        <v>45</v>
      </c>
      <c r="E2" s="379" t="s">
        <v>249</v>
      </c>
      <c r="F2" s="380" t="s">
        <v>1417</v>
      </c>
      <c r="G2" s="380"/>
    </row>
    <row r="3" spans="1:7" ht="24.75" customHeight="1">
      <c r="A3" s="374"/>
      <c r="B3" s="376"/>
      <c r="C3" s="377"/>
      <c r="D3" s="378"/>
      <c r="E3" s="379"/>
      <c r="F3" s="295" t="s">
        <v>250</v>
      </c>
      <c r="G3" s="295" t="s">
        <v>46</v>
      </c>
    </row>
    <row r="4" spans="1:7">
      <c r="A4" s="51">
        <v>1</v>
      </c>
      <c r="B4" s="233">
        <v>1</v>
      </c>
      <c r="C4" s="254" t="s">
        <v>680</v>
      </c>
      <c r="D4" s="170"/>
      <c r="E4" s="178"/>
      <c r="F4" s="178"/>
      <c r="G4" s="178"/>
    </row>
    <row r="5" spans="1:7">
      <c r="A5" s="212"/>
      <c r="B5" s="234" t="s">
        <v>513</v>
      </c>
      <c r="C5" s="255" t="s">
        <v>521</v>
      </c>
      <c r="D5" s="213"/>
      <c r="E5" s="214"/>
      <c r="F5" s="296"/>
      <c r="G5" s="297"/>
    </row>
    <row r="6" spans="1:7">
      <c r="A6" s="212"/>
      <c r="B6" s="234"/>
      <c r="C6" s="256" t="s">
        <v>333</v>
      </c>
      <c r="D6" s="213"/>
      <c r="E6" s="214"/>
      <c r="F6" s="296"/>
      <c r="G6" s="297"/>
    </row>
    <row r="7" spans="1:7">
      <c r="A7" s="215"/>
      <c r="B7" s="235" t="s">
        <v>567</v>
      </c>
      <c r="C7" s="257" t="s">
        <v>568</v>
      </c>
      <c r="D7" s="213" t="s">
        <v>186</v>
      </c>
      <c r="E7" s="207">
        <v>60</v>
      </c>
      <c r="F7" s="297">
        <f>VLOOKUP(B7,[1]Plan1!A$1:D$65536,4,FALSE)</f>
        <v>389.7</v>
      </c>
      <c r="G7" s="297">
        <f t="shared" ref="G7:G36" si="0">TRUNC(E7*F7,2)</f>
        <v>23382</v>
      </c>
    </row>
    <row r="8" spans="1:7">
      <c r="A8" s="215"/>
      <c r="B8" s="235" t="s">
        <v>247</v>
      </c>
      <c r="C8" s="253" t="s">
        <v>514</v>
      </c>
      <c r="D8" s="1" t="s">
        <v>185</v>
      </c>
      <c r="E8" s="208">
        <v>464</v>
      </c>
      <c r="F8" s="297">
        <f>VLOOKUP(B8,[1]Plan1!A$1:D$65536,4,FALSE)</f>
        <v>52.38</v>
      </c>
      <c r="G8" s="297">
        <f t="shared" si="0"/>
        <v>24304.32</v>
      </c>
    </row>
    <row r="9" spans="1:7">
      <c r="A9" s="216"/>
      <c r="B9" s="235" t="s">
        <v>569</v>
      </c>
      <c r="C9" s="257" t="s">
        <v>570</v>
      </c>
      <c r="D9" s="1" t="s">
        <v>246</v>
      </c>
      <c r="E9" s="208">
        <v>4422</v>
      </c>
      <c r="F9" s="297">
        <f>VLOOKUP(B9,[1]Plan1!A$1:D$65536,4,FALSE)</f>
        <v>5.97</v>
      </c>
      <c r="G9" s="297">
        <f t="shared" si="0"/>
        <v>26399.34</v>
      </c>
    </row>
    <row r="10" spans="1:7">
      <c r="A10" s="215"/>
      <c r="B10" s="235" t="s">
        <v>710</v>
      </c>
      <c r="C10" s="253" t="s">
        <v>572</v>
      </c>
      <c r="D10" s="213" t="s">
        <v>186</v>
      </c>
      <c r="E10" s="207">
        <v>169.62176000000002</v>
      </c>
      <c r="F10" s="297">
        <f>VLOOKUP(B10,[2]Plan1!A$1:D$65536,4,FALSE)</f>
        <v>34.229999999999997</v>
      </c>
      <c r="G10" s="297">
        <f t="shared" si="0"/>
        <v>5806.15</v>
      </c>
    </row>
    <row r="11" spans="1:7">
      <c r="A11" s="215"/>
      <c r="B11" s="235" t="s">
        <v>711</v>
      </c>
      <c r="C11" s="253" t="s">
        <v>571</v>
      </c>
      <c r="D11" s="213" t="s">
        <v>186</v>
      </c>
      <c r="E11" s="207">
        <v>76.966400000000007</v>
      </c>
      <c r="F11" s="297">
        <f>VLOOKUP(B11,[2]Plan1!A$1:D$65536,4,FALSE)</f>
        <v>18.25</v>
      </c>
      <c r="G11" s="297">
        <f t="shared" si="0"/>
        <v>1404.63</v>
      </c>
    </row>
    <row r="12" spans="1:7">
      <c r="A12" s="215"/>
      <c r="B12" s="235" t="s">
        <v>573</v>
      </c>
      <c r="C12" s="253" t="s">
        <v>574</v>
      </c>
      <c r="D12" s="213" t="s">
        <v>186</v>
      </c>
      <c r="E12" s="207">
        <v>9.6376000000000026</v>
      </c>
      <c r="F12" s="297">
        <f>VLOOKUP(B12,[1]Plan1!A$1:D$65536,4,FALSE)</f>
        <v>301.73</v>
      </c>
      <c r="G12" s="297">
        <f t="shared" si="0"/>
        <v>2907.95</v>
      </c>
    </row>
    <row r="13" spans="1:7">
      <c r="A13" s="215"/>
      <c r="B13" s="235"/>
      <c r="C13" s="258"/>
      <c r="D13" s="1"/>
      <c r="E13" s="208"/>
      <c r="F13" s="297"/>
      <c r="G13" s="297"/>
    </row>
    <row r="14" spans="1:7">
      <c r="A14" s="217"/>
      <c r="B14" s="234"/>
      <c r="C14" s="255" t="s">
        <v>523</v>
      </c>
      <c r="D14" s="1"/>
      <c r="E14" s="298" t="s">
        <v>122</v>
      </c>
      <c r="F14" s="297"/>
      <c r="G14" s="297"/>
    </row>
    <row r="15" spans="1:7">
      <c r="A15" s="217"/>
      <c r="B15" s="235" t="s">
        <v>575</v>
      </c>
      <c r="C15" s="257" t="s">
        <v>576</v>
      </c>
      <c r="D15" s="1" t="s">
        <v>186</v>
      </c>
      <c r="E15" s="208">
        <v>38.950000000000003</v>
      </c>
      <c r="F15" s="297">
        <f>VLOOKUP(B15,[1]Plan1!A$1:D$65536,4,FALSE)</f>
        <v>401.49</v>
      </c>
      <c r="G15" s="297">
        <f t="shared" ref="G15:G22" si="1">TRUNC(E15*F15,2)</f>
        <v>15638.03</v>
      </c>
    </row>
    <row r="16" spans="1:7">
      <c r="A16" s="217"/>
      <c r="B16" s="235" t="s">
        <v>1388</v>
      </c>
      <c r="C16" s="257" t="s">
        <v>577</v>
      </c>
      <c r="D16" s="1" t="s">
        <v>186</v>
      </c>
      <c r="E16" s="208">
        <v>1.6</v>
      </c>
      <c r="F16" s="297">
        <f>VLOOKUP(B16,[2]Plan1!A$1:D$65536,4,FALSE)</f>
        <v>363.71</v>
      </c>
      <c r="G16" s="297">
        <f t="shared" si="1"/>
        <v>581.92999999999995</v>
      </c>
    </row>
    <row r="17" spans="1:7">
      <c r="A17" s="217"/>
      <c r="B17" s="235" t="s">
        <v>569</v>
      </c>
      <c r="C17" s="257" t="s">
        <v>570</v>
      </c>
      <c r="D17" s="1" t="s">
        <v>246</v>
      </c>
      <c r="E17" s="208">
        <v>1693</v>
      </c>
      <c r="F17" s="297">
        <f>VLOOKUP(B17,[1]Plan1!A$1:D$65536,4,FALSE)</f>
        <v>5.97</v>
      </c>
      <c r="G17" s="297">
        <f t="shared" si="1"/>
        <v>10107.209999999999</v>
      </c>
    </row>
    <row r="18" spans="1:7">
      <c r="A18" s="217"/>
      <c r="B18" s="235" t="s">
        <v>713</v>
      </c>
      <c r="C18" s="253" t="s">
        <v>517</v>
      </c>
      <c r="D18" s="1" t="s">
        <v>186</v>
      </c>
      <c r="E18" s="209">
        <v>35</v>
      </c>
      <c r="F18" s="297">
        <f>VLOOKUP(B18,[2]Plan1!A$1:D$65536,4,FALSE)</f>
        <v>3.79</v>
      </c>
      <c r="G18" s="297">
        <f t="shared" si="1"/>
        <v>132.65</v>
      </c>
    </row>
    <row r="19" spans="1:7">
      <c r="A19" s="217"/>
      <c r="B19" s="235" t="s">
        <v>714</v>
      </c>
      <c r="C19" s="253" t="s">
        <v>518</v>
      </c>
      <c r="D19" s="1" t="s">
        <v>186</v>
      </c>
      <c r="E19" s="209">
        <v>46</v>
      </c>
      <c r="F19" s="297">
        <f>VLOOKUP(B19,[2]Plan1!A$1:D$65536,4,FALSE)</f>
        <v>1.4</v>
      </c>
      <c r="G19" s="297">
        <f t="shared" si="1"/>
        <v>64.400000000000006</v>
      </c>
    </row>
    <row r="20" spans="1:7">
      <c r="A20" s="215"/>
      <c r="B20" s="235" t="s">
        <v>247</v>
      </c>
      <c r="C20" s="253" t="s">
        <v>514</v>
      </c>
      <c r="D20" s="1" t="s">
        <v>185</v>
      </c>
      <c r="E20" s="209">
        <v>267.2</v>
      </c>
      <c r="F20" s="297">
        <f>VLOOKUP(B20,[1]Plan1!A$1:D$65536,4,FALSE)</f>
        <v>52.38</v>
      </c>
      <c r="G20" s="297">
        <f t="shared" si="1"/>
        <v>13995.93</v>
      </c>
    </row>
    <row r="21" spans="1:7">
      <c r="A21" s="215"/>
      <c r="B21" s="235" t="s">
        <v>248</v>
      </c>
      <c r="C21" s="253" t="s">
        <v>519</v>
      </c>
      <c r="D21" s="1" t="s">
        <v>186</v>
      </c>
      <c r="E21" s="209">
        <v>57</v>
      </c>
      <c r="F21" s="297">
        <f>VLOOKUP(B21,[1]Plan1!A$1:D$65536,4,FALSE)</f>
        <v>417.85</v>
      </c>
      <c r="G21" s="297">
        <f t="shared" si="1"/>
        <v>23817.45</v>
      </c>
    </row>
    <row r="22" spans="1:7">
      <c r="A22" s="215"/>
      <c r="B22" s="235" t="s">
        <v>778</v>
      </c>
      <c r="C22" s="253" t="s">
        <v>520</v>
      </c>
      <c r="D22" s="1" t="s">
        <v>1321</v>
      </c>
      <c r="E22" s="209">
        <v>70</v>
      </c>
      <c r="F22" s="208">
        <f>TRUNC(3.14*1.2031,2)</f>
        <v>3.77</v>
      </c>
      <c r="G22" s="297">
        <f t="shared" si="1"/>
        <v>263.89999999999998</v>
      </c>
    </row>
    <row r="23" spans="1:7">
      <c r="A23" s="215"/>
      <c r="B23" s="235"/>
      <c r="C23" s="259"/>
      <c r="D23" s="1"/>
      <c r="E23" s="209"/>
      <c r="F23" s="208"/>
      <c r="G23" s="297"/>
    </row>
    <row r="24" spans="1:7">
      <c r="A24" s="215"/>
      <c r="B24" s="234" t="s">
        <v>515</v>
      </c>
      <c r="C24" s="256" t="s">
        <v>522</v>
      </c>
      <c r="D24" s="1"/>
      <c r="E24" s="208"/>
      <c r="F24" s="209"/>
      <c r="G24" s="297"/>
    </row>
    <row r="25" spans="1:7">
      <c r="A25" s="215"/>
      <c r="B25" s="234"/>
      <c r="C25" s="256" t="s">
        <v>333</v>
      </c>
      <c r="D25" s="1"/>
      <c r="E25" s="208"/>
      <c r="F25" s="209"/>
      <c r="G25" s="297"/>
    </row>
    <row r="26" spans="1:7">
      <c r="A26" s="215"/>
      <c r="B26" s="235" t="s">
        <v>567</v>
      </c>
      <c r="C26" s="257" t="s">
        <v>568</v>
      </c>
      <c r="D26" s="213" t="s">
        <v>186</v>
      </c>
      <c r="E26" s="208">
        <v>60</v>
      </c>
      <c r="F26" s="297">
        <f>VLOOKUP(B26,[1]Plan1!A$1:D$65536,4,FALSE)</f>
        <v>389.7</v>
      </c>
      <c r="G26" s="297">
        <f t="shared" si="0"/>
        <v>23382</v>
      </c>
    </row>
    <row r="27" spans="1:7">
      <c r="A27" s="215"/>
      <c r="B27" s="235" t="s">
        <v>247</v>
      </c>
      <c r="C27" s="253" t="s">
        <v>514</v>
      </c>
      <c r="D27" s="1" t="s">
        <v>185</v>
      </c>
      <c r="E27" s="208">
        <v>464</v>
      </c>
      <c r="F27" s="297">
        <f>VLOOKUP(B27,[1]Plan1!A$1:D$65536,4,FALSE)</f>
        <v>52.38</v>
      </c>
      <c r="G27" s="297">
        <f t="shared" si="0"/>
        <v>24304.32</v>
      </c>
    </row>
    <row r="28" spans="1:7">
      <c r="A28" s="215"/>
      <c r="B28" s="235" t="s">
        <v>569</v>
      </c>
      <c r="C28" s="257" t="s">
        <v>570</v>
      </c>
      <c r="D28" s="1" t="s">
        <v>246</v>
      </c>
      <c r="E28" s="208">
        <v>4422</v>
      </c>
      <c r="F28" s="297">
        <f>VLOOKUP(B28,[1]Plan1!A$1:D$65536,4,FALSE)</f>
        <v>5.97</v>
      </c>
      <c r="G28" s="297">
        <f t="shared" si="0"/>
        <v>26399.34</v>
      </c>
    </row>
    <row r="29" spans="1:7">
      <c r="A29" s="215"/>
      <c r="B29" s="235" t="s">
        <v>710</v>
      </c>
      <c r="C29" s="253" t="s">
        <v>572</v>
      </c>
      <c r="D29" s="213" t="s">
        <v>186</v>
      </c>
      <c r="E29" s="207">
        <v>169.62176000000002</v>
      </c>
      <c r="F29" s="297">
        <f>VLOOKUP(B29,[2]Plan1!A$1:D$65536,4,FALSE)</f>
        <v>34.229999999999997</v>
      </c>
      <c r="G29" s="297">
        <f t="shared" si="0"/>
        <v>5806.15</v>
      </c>
    </row>
    <row r="30" spans="1:7">
      <c r="A30" s="215"/>
      <c r="B30" s="235" t="s">
        <v>711</v>
      </c>
      <c r="C30" s="253" t="s">
        <v>571</v>
      </c>
      <c r="D30" s="213" t="s">
        <v>186</v>
      </c>
      <c r="E30" s="207">
        <v>76.966400000000007</v>
      </c>
      <c r="F30" s="297">
        <f>VLOOKUP(B30,[2]Plan1!A$1:D$65536,4,FALSE)</f>
        <v>18.25</v>
      </c>
      <c r="G30" s="297">
        <f t="shared" si="0"/>
        <v>1404.63</v>
      </c>
    </row>
    <row r="31" spans="1:7">
      <c r="A31" s="215"/>
      <c r="B31" s="235" t="s">
        <v>573</v>
      </c>
      <c r="C31" s="253" t="s">
        <v>574</v>
      </c>
      <c r="D31" s="213" t="s">
        <v>186</v>
      </c>
      <c r="E31" s="207">
        <v>9.6376000000000026</v>
      </c>
      <c r="F31" s="297">
        <f>VLOOKUP(B31,[1]Plan1!A$1:D$65536,4,FALSE)</f>
        <v>301.73</v>
      </c>
      <c r="G31" s="297">
        <f t="shared" si="0"/>
        <v>2907.95</v>
      </c>
    </row>
    <row r="32" spans="1:7">
      <c r="A32" s="217"/>
      <c r="B32" s="235"/>
      <c r="C32" s="257"/>
      <c r="D32" s="1"/>
      <c r="E32" s="208"/>
      <c r="F32" s="209"/>
      <c r="G32" s="297"/>
    </row>
    <row r="33" spans="1:7">
      <c r="A33" s="217"/>
      <c r="B33" s="234"/>
      <c r="C33" s="255" t="s">
        <v>523</v>
      </c>
      <c r="D33" s="1"/>
      <c r="E33" s="208"/>
      <c r="F33" s="297"/>
      <c r="G33" s="297"/>
    </row>
    <row r="34" spans="1:7">
      <c r="A34" s="217"/>
      <c r="B34" s="235" t="s">
        <v>575</v>
      </c>
      <c r="C34" s="257" t="s">
        <v>576</v>
      </c>
      <c r="D34" s="1" t="s">
        <v>186</v>
      </c>
      <c r="E34" s="208">
        <v>38.950000000000003</v>
      </c>
      <c r="F34" s="297">
        <f>VLOOKUP(B34,[1]Plan1!A$1:D$65536,4,FALSE)</f>
        <v>401.49</v>
      </c>
      <c r="G34" s="297">
        <f t="shared" si="0"/>
        <v>15638.03</v>
      </c>
    </row>
    <row r="35" spans="1:7">
      <c r="A35" s="217"/>
      <c r="B35" s="235" t="s">
        <v>1388</v>
      </c>
      <c r="C35" s="257" t="s">
        <v>577</v>
      </c>
      <c r="D35" s="1" t="s">
        <v>186</v>
      </c>
      <c r="E35" s="208">
        <v>1.6</v>
      </c>
      <c r="F35" s="297">
        <f>VLOOKUP(B35,[2]Plan1!A$1:D$65536,4,FALSE)</f>
        <v>363.71</v>
      </c>
      <c r="G35" s="297">
        <f t="shared" si="0"/>
        <v>581.92999999999995</v>
      </c>
    </row>
    <row r="36" spans="1:7">
      <c r="A36" s="217"/>
      <c r="B36" s="235" t="s">
        <v>569</v>
      </c>
      <c r="C36" s="257" t="s">
        <v>570</v>
      </c>
      <c r="D36" s="1" t="s">
        <v>246</v>
      </c>
      <c r="E36" s="208">
        <v>1693</v>
      </c>
      <c r="F36" s="297">
        <f>VLOOKUP(B36,[1]Plan1!A$1:D$65536,4,FALSE)</f>
        <v>5.97</v>
      </c>
      <c r="G36" s="297">
        <f t="shared" si="0"/>
        <v>10107.209999999999</v>
      </c>
    </row>
    <row r="37" spans="1:7">
      <c r="A37" s="217"/>
      <c r="B37" s="235" t="s">
        <v>713</v>
      </c>
      <c r="C37" s="253" t="s">
        <v>517</v>
      </c>
      <c r="D37" s="1" t="s">
        <v>186</v>
      </c>
      <c r="E37" s="209">
        <v>35</v>
      </c>
      <c r="F37" s="297">
        <f>VLOOKUP(B37,[2]Plan1!A$1:D$65536,4,FALSE)</f>
        <v>3.79</v>
      </c>
      <c r="G37" s="297">
        <f>TRUNC(E37*F37,2)</f>
        <v>132.65</v>
      </c>
    </row>
    <row r="38" spans="1:7">
      <c r="A38" s="217"/>
      <c r="B38" s="235" t="s">
        <v>714</v>
      </c>
      <c r="C38" s="253" t="s">
        <v>518</v>
      </c>
      <c r="D38" s="1" t="s">
        <v>186</v>
      </c>
      <c r="E38" s="209">
        <v>46</v>
      </c>
      <c r="F38" s="297">
        <f>VLOOKUP(B38,[2]Plan1!A$1:D$65536,4,FALSE)</f>
        <v>1.4</v>
      </c>
      <c r="G38" s="297">
        <f>TRUNC(E38*F38,2)</f>
        <v>64.400000000000006</v>
      </c>
    </row>
    <row r="39" spans="1:7">
      <c r="A39" s="215"/>
      <c r="B39" s="235" t="s">
        <v>247</v>
      </c>
      <c r="C39" s="253" t="s">
        <v>514</v>
      </c>
      <c r="D39" s="1" t="s">
        <v>185</v>
      </c>
      <c r="E39" s="209">
        <v>267.2</v>
      </c>
      <c r="F39" s="297">
        <f>VLOOKUP(B39,[1]Plan1!A$1:D$65536,4,FALSE)</f>
        <v>52.38</v>
      </c>
      <c r="G39" s="297">
        <f>TRUNC(E39*F39,2)</f>
        <v>13995.93</v>
      </c>
    </row>
    <row r="40" spans="1:7">
      <c r="A40" s="215"/>
      <c r="B40" s="235" t="s">
        <v>248</v>
      </c>
      <c r="C40" s="253" t="s">
        <v>519</v>
      </c>
      <c r="D40" s="1" t="s">
        <v>186</v>
      </c>
      <c r="E40" s="209">
        <v>57</v>
      </c>
      <c r="F40" s="297">
        <f>VLOOKUP(B40,[1]Plan1!A$1:D$65536,4,FALSE)</f>
        <v>417.85</v>
      </c>
      <c r="G40" s="297">
        <f>TRUNC(E40*F40,2)</f>
        <v>23817.45</v>
      </c>
    </row>
    <row r="41" spans="1:7">
      <c r="A41" s="215"/>
      <c r="B41" s="235" t="s">
        <v>778</v>
      </c>
      <c r="C41" s="253" t="s">
        <v>520</v>
      </c>
      <c r="D41" s="1" t="s">
        <v>1321</v>
      </c>
      <c r="E41" s="209">
        <v>70</v>
      </c>
      <c r="F41" s="208">
        <f>TRUNC(3.14*1.2031,2)</f>
        <v>3.77</v>
      </c>
      <c r="G41" s="297">
        <f>TRUNC(E41*F41,2)</f>
        <v>263.89999999999998</v>
      </c>
    </row>
    <row r="42" spans="1:7">
      <c r="A42" s="215"/>
      <c r="B42" s="235"/>
      <c r="C42" s="260"/>
      <c r="D42" s="1"/>
      <c r="E42" s="208"/>
      <c r="F42" s="297"/>
      <c r="G42" s="297"/>
    </row>
    <row r="43" spans="1:7">
      <c r="A43" s="215"/>
      <c r="B43" s="234" t="s">
        <v>516</v>
      </c>
      <c r="C43" s="256" t="s">
        <v>524</v>
      </c>
      <c r="D43" s="1"/>
      <c r="E43" s="208"/>
      <c r="F43" s="297"/>
      <c r="G43" s="297"/>
    </row>
    <row r="44" spans="1:7">
      <c r="A44" s="215"/>
      <c r="B44" s="234" t="s">
        <v>643</v>
      </c>
      <c r="C44" s="256" t="s">
        <v>335</v>
      </c>
      <c r="D44" s="1"/>
      <c r="E44" s="208"/>
      <c r="F44" s="297"/>
      <c r="G44" s="297"/>
    </row>
    <row r="45" spans="1:7">
      <c r="A45" s="215"/>
      <c r="B45" s="235"/>
      <c r="C45" s="256" t="s">
        <v>525</v>
      </c>
      <c r="D45" s="1"/>
      <c r="E45" s="208"/>
      <c r="F45" s="297"/>
      <c r="G45" s="297"/>
    </row>
    <row r="46" spans="1:7">
      <c r="A46" s="215"/>
      <c r="B46" s="235" t="s">
        <v>684</v>
      </c>
      <c r="C46" s="257" t="s">
        <v>640</v>
      </c>
      <c r="D46" s="1" t="s">
        <v>189</v>
      </c>
      <c r="E46" s="208">
        <v>90</v>
      </c>
      <c r="F46" s="297">
        <f>VLOOKUP(B46,estrutura!A:AR,41,FALSE)</f>
        <v>564.83000000000004</v>
      </c>
      <c r="G46" s="297">
        <f t="shared" ref="G46:G55" si="2">TRUNC(E46*F46,2)</f>
        <v>50834.7</v>
      </c>
    </row>
    <row r="47" spans="1:7">
      <c r="A47" s="215"/>
      <c r="B47" s="235" t="s">
        <v>575</v>
      </c>
      <c r="C47" s="257" t="s">
        <v>576</v>
      </c>
      <c r="D47" s="1" t="s">
        <v>186</v>
      </c>
      <c r="E47" s="208">
        <v>52.2</v>
      </c>
      <c r="F47" s="297">
        <f>VLOOKUP(B47,[1]Plan1!A$1:D$65536,4,FALSE)</f>
        <v>401.49</v>
      </c>
      <c r="G47" s="297">
        <f t="shared" si="2"/>
        <v>20957.77</v>
      </c>
    </row>
    <row r="48" spans="1:7">
      <c r="A48" s="215"/>
      <c r="B48" s="235" t="s">
        <v>1388</v>
      </c>
      <c r="C48" s="257" t="s">
        <v>577</v>
      </c>
      <c r="D48" s="1" t="s">
        <v>186</v>
      </c>
      <c r="E48" s="208">
        <v>0.35</v>
      </c>
      <c r="F48" s="297">
        <f>VLOOKUP(B48,[2]Plan1!A$1:D$65536,4,FALSE)</f>
        <v>363.71</v>
      </c>
      <c r="G48" s="297">
        <f t="shared" si="2"/>
        <v>127.29</v>
      </c>
    </row>
    <row r="49" spans="1:7">
      <c r="A49" s="215"/>
      <c r="B49" s="235" t="s">
        <v>1376</v>
      </c>
      <c r="C49" s="257" t="s">
        <v>578</v>
      </c>
      <c r="D49" s="1" t="s">
        <v>185</v>
      </c>
      <c r="E49" s="208">
        <v>272.95</v>
      </c>
      <c r="F49" s="297">
        <f>VLOOKUP(B49,[2]Plan1!A$1:D$65536,4,FALSE)</f>
        <v>43.8</v>
      </c>
      <c r="G49" s="297">
        <f t="shared" si="2"/>
        <v>11955.21</v>
      </c>
    </row>
    <row r="50" spans="1:7">
      <c r="A50" s="215"/>
      <c r="B50" s="235" t="s">
        <v>579</v>
      </c>
      <c r="C50" s="257" t="s">
        <v>580</v>
      </c>
      <c r="D50" s="1" t="s">
        <v>186</v>
      </c>
      <c r="E50" s="208">
        <v>7.85</v>
      </c>
      <c r="F50" s="297">
        <f>VLOOKUP(B50,[1]Plan1!A$1:D$65536,4,FALSE)</f>
        <v>211.9</v>
      </c>
      <c r="G50" s="297">
        <f t="shared" si="2"/>
        <v>1663.41</v>
      </c>
    </row>
    <row r="51" spans="1:7" s="219" customFormat="1">
      <c r="A51" s="179"/>
      <c r="B51" s="236" t="s">
        <v>1621</v>
      </c>
      <c r="C51" s="261" t="s">
        <v>1622</v>
      </c>
      <c r="D51" s="218" t="s">
        <v>186</v>
      </c>
      <c r="E51" s="49">
        <f>E50*1.5</f>
        <v>11.774999999999999</v>
      </c>
      <c r="F51" s="209">
        <f>VLOOKUP(B51,[2]Plan1!A$1:D$65536,4,FALSE)</f>
        <v>1.1299999999999999</v>
      </c>
      <c r="G51" s="49">
        <f>TRUNC(E51*F51,2)</f>
        <v>13.3</v>
      </c>
    </row>
    <row r="52" spans="1:7" s="219" customFormat="1" ht="22.5">
      <c r="A52" s="179"/>
      <c r="B52" s="235" t="s">
        <v>718</v>
      </c>
      <c r="C52" s="262" t="s">
        <v>1625</v>
      </c>
      <c r="D52" s="4" t="s">
        <v>1319</v>
      </c>
      <c r="E52" s="49">
        <f>E51*37.7</f>
        <v>443.91749999999996</v>
      </c>
      <c r="F52" s="209">
        <f>VLOOKUP(B52,[2]Plan1!A$1:D$65536,4,FALSE)</f>
        <v>0.56999999999999995</v>
      </c>
      <c r="G52" s="49">
        <f>TRUNC(E52*F52,2)</f>
        <v>253.03</v>
      </c>
    </row>
    <row r="53" spans="1:7">
      <c r="A53" s="215"/>
      <c r="B53" s="235" t="s">
        <v>569</v>
      </c>
      <c r="C53" s="257" t="s">
        <v>570</v>
      </c>
      <c r="D53" s="1" t="s">
        <v>246</v>
      </c>
      <c r="E53" s="208">
        <v>7687</v>
      </c>
      <c r="F53" s="297">
        <f>VLOOKUP(B53,[1]Plan1!A$1:D$65536,4,FALSE)</f>
        <v>5.97</v>
      </c>
      <c r="G53" s="297">
        <f t="shared" si="2"/>
        <v>45891.39</v>
      </c>
    </row>
    <row r="54" spans="1:7">
      <c r="A54" s="215"/>
      <c r="B54" s="235" t="s">
        <v>681</v>
      </c>
      <c r="C54" s="257" t="s">
        <v>1318</v>
      </c>
      <c r="D54" s="1" t="s">
        <v>246</v>
      </c>
      <c r="E54" s="208">
        <v>57</v>
      </c>
      <c r="F54" s="297">
        <f>VLOOKUP(B54,estrutura!A:AR,41,FALSE)</f>
        <v>39.339999999999996</v>
      </c>
      <c r="G54" s="297">
        <f t="shared" si="2"/>
        <v>2242.38</v>
      </c>
    </row>
    <row r="55" spans="1:7">
      <c r="A55" s="220"/>
      <c r="B55" s="235" t="s">
        <v>682</v>
      </c>
      <c r="C55" s="257" t="s">
        <v>581</v>
      </c>
      <c r="D55" s="1" t="s">
        <v>194</v>
      </c>
      <c r="E55" s="208">
        <v>5</v>
      </c>
      <c r="F55" s="297">
        <f>VLOOKUP(B55,estrutura!A:AR,41,FALSE)</f>
        <v>14.3</v>
      </c>
      <c r="G55" s="297">
        <f t="shared" si="2"/>
        <v>71.5</v>
      </c>
    </row>
    <row r="56" spans="1:7">
      <c r="A56" s="220"/>
      <c r="B56" s="235"/>
      <c r="C56" s="258"/>
      <c r="D56" s="1"/>
      <c r="E56" s="208"/>
      <c r="F56" s="297"/>
      <c r="G56" s="297"/>
    </row>
    <row r="57" spans="1:7">
      <c r="A57" s="220"/>
      <c r="B57" s="234" t="s">
        <v>644</v>
      </c>
      <c r="C57" s="255" t="s">
        <v>334</v>
      </c>
      <c r="D57" s="1"/>
      <c r="E57" s="208"/>
      <c r="F57" s="297"/>
      <c r="G57" s="297"/>
    </row>
    <row r="58" spans="1:7">
      <c r="A58" s="217"/>
      <c r="B58" s="234"/>
      <c r="C58" s="256" t="s">
        <v>525</v>
      </c>
      <c r="D58" s="1"/>
      <c r="E58" s="208"/>
      <c r="F58" s="209"/>
      <c r="G58" s="297"/>
    </row>
    <row r="59" spans="1:7">
      <c r="A59" s="217"/>
      <c r="B59" s="235" t="s">
        <v>684</v>
      </c>
      <c r="C59" s="257" t="s">
        <v>640</v>
      </c>
      <c r="D59" s="1" t="s">
        <v>189</v>
      </c>
      <c r="E59" s="208">
        <v>72</v>
      </c>
      <c r="F59" s="297">
        <f>VLOOKUP(B59,estrutura!A:AR,41,FALSE)</f>
        <v>564.83000000000004</v>
      </c>
      <c r="G59" s="297">
        <f t="shared" ref="G59:G68" si="3">TRUNC(E59*F59,2)</f>
        <v>40667.760000000002</v>
      </c>
    </row>
    <row r="60" spans="1:7">
      <c r="A60" s="217"/>
      <c r="B60" s="235" t="s">
        <v>575</v>
      </c>
      <c r="C60" s="257" t="s">
        <v>646</v>
      </c>
      <c r="D60" s="1" t="s">
        <v>186</v>
      </c>
      <c r="E60" s="208">
        <v>49.5</v>
      </c>
      <c r="F60" s="297">
        <f>VLOOKUP(B60,[1]Plan1!A$1:D$65536,4,FALSE)</f>
        <v>401.49</v>
      </c>
      <c r="G60" s="297">
        <f t="shared" si="3"/>
        <v>19873.75</v>
      </c>
    </row>
    <row r="61" spans="1:7">
      <c r="A61" s="220"/>
      <c r="B61" s="235" t="s">
        <v>1388</v>
      </c>
      <c r="C61" s="257" t="s">
        <v>647</v>
      </c>
      <c r="D61" s="1" t="s">
        <v>186</v>
      </c>
      <c r="E61" s="208">
        <v>0.35</v>
      </c>
      <c r="F61" s="297">
        <f>VLOOKUP(B61,[2]Plan1!A$1:D$65536,4,FALSE)</f>
        <v>363.71</v>
      </c>
      <c r="G61" s="297">
        <f t="shared" si="3"/>
        <v>127.29</v>
      </c>
    </row>
    <row r="62" spans="1:7">
      <c r="A62" s="220"/>
      <c r="B62" s="235" t="s">
        <v>1376</v>
      </c>
      <c r="C62" s="257" t="s">
        <v>578</v>
      </c>
      <c r="D62" s="1" t="s">
        <v>185</v>
      </c>
      <c r="E62" s="208">
        <v>237.25</v>
      </c>
      <c r="F62" s="297">
        <f>VLOOKUP(B62,[2]Plan1!A$1:D$65536,4,FALSE)</f>
        <v>43.8</v>
      </c>
      <c r="G62" s="297">
        <f t="shared" si="3"/>
        <v>10391.549999999999</v>
      </c>
    </row>
    <row r="63" spans="1:7">
      <c r="A63" s="220"/>
      <c r="B63" s="235" t="s">
        <v>579</v>
      </c>
      <c r="C63" s="257" t="s">
        <v>580</v>
      </c>
      <c r="D63" s="1" t="s">
        <v>186</v>
      </c>
      <c r="E63" s="208">
        <v>7.85</v>
      </c>
      <c r="F63" s="297">
        <f>VLOOKUP(B63,[1]Plan1!A$1:D$65536,4,FALSE)</f>
        <v>211.9</v>
      </c>
      <c r="G63" s="297">
        <f t="shared" si="3"/>
        <v>1663.41</v>
      </c>
    </row>
    <row r="64" spans="1:7" s="219" customFormat="1" ht="22.5">
      <c r="A64" s="179"/>
      <c r="B64" s="235" t="s">
        <v>718</v>
      </c>
      <c r="C64" s="262" t="s">
        <v>1625</v>
      </c>
      <c r="D64" s="4" t="s">
        <v>1319</v>
      </c>
      <c r="E64" s="49">
        <f>E63*37.7</f>
        <v>295.94499999999999</v>
      </c>
      <c r="F64" s="209">
        <f>VLOOKUP(B64,[2]Plan1!A$1:D$65536,4,FALSE)</f>
        <v>0.56999999999999995</v>
      </c>
      <c r="G64" s="49">
        <f>TRUNC(E64*F64,2)</f>
        <v>168.68</v>
      </c>
    </row>
    <row r="65" spans="1:9">
      <c r="A65" s="215"/>
      <c r="B65" s="235" t="s">
        <v>569</v>
      </c>
      <c r="C65" s="257" t="s">
        <v>570</v>
      </c>
      <c r="D65" s="1" t="s">
        <v>246</v>
      </c>
      <c r="E65" s="208">
        <v>7687</v>
      </c>
      <c r="F65" s="297">
        <f>VLOOKUP(B65,[1]Plan1!A$1:D$65536,4,FALSE)</f>
        <v>5.97</v>
      </c>
      <c r="G65" s="297">
        <f>TRUNC(E65*F65,2)</f>
        <v>45891.39</v>
      </c>
    </row>
    <row r="66" spans="1:9">
      <c r="A66" s="217"/>
      <c r="B66" s="235" t="s">
        <v>569</v>
      </c>
      <c r="C66" s="257" t="s">
        <v>570</v>
      </c>
      <c r="D66" s="1" t="s">
        <v>246</v>
      </c>
      <c r="E66" s="208">
        <v>6535</v>
      </c>
      <c r="F66" s="297">
        <f>VLOOKUP(B66,[1]Plan1!A$1:D$65536,4,FALSE)</f>
        <v>5.97</v>
      </c>
      <c r="G66" s="297">
        <f t="shared" si="3"/>
        <v>39013.949999999997</v>
      </c>
    </row>
    <row r="67" spans="1:9">
      <c r="A67" s="220"/>
      <c r="B67" s="235" t="s">
        <v>681</v>
      </c>
      <c r="C67" s="257" t="s">
        <v>1318</v>
      </c>
      <c r="D67" s="1" t="s">
        <v>246</v>
      </c>
      <c r="E67" s="208">
        <v>57</v>
      </c>
      <c r="F67" s="297">
        <f>VLOOKUP(B67,estrutura!A:AR,41,FALSE)</f>
        <v>39.339999999999996</v>
      </c>
      <c r="G67" s="297">
        <f t="shared" si="3"/>
        <v>2242.38</v>
      </c>
    </row>
    <row r="68" spans="1:9">
      <c r="A68" s="220"/>
      <c r="B68" s="235" t="s">
        <v>682</v>
      </c>
      <c r="C68" s="257" t="s">
        <v>581</v>
      </c>
      <c r="D68" s="1" t="s">
        <v>194</v>
      </c>
      <c r="E68" s="208">
        <v>5</v>
      </c>
      <c r="F68" s="297">
        <f>VLOOKUP(B68,estrutura!A:AR,41,FALSE)</f>
        <v>14.3</v>
      </c>
      <c r="G68" s="297">
        <f t="shared" si="3"/>
        <v>71.5</v>
      </c>
    </row>
    <row r="69" spans="1:9">
      <c r="A69" s="220"/>
      <c r="B69" s="235"/>
      <c r="C69" s="257"/>
      <c r="D69" s="1"/>
      <c r="E69" s="208"/>
      <c r="F69" s="297"/>
      <c r="G69" s="297"/>
    </row>
    <row r="70" spans="1:9">
      <c r="A70" s="220"/>
      <c r="B70" s="234" t="s">
        <v>645</v>
      </c>
      <c r="C70" s="255" t="s">
        <v>641</v>
      </c>
      <c r="D70" s="213"/>
      <c r="E70" s="207"/>
      <c r="F70" s="209"/>
      <c r="G70" s="297"/>
    </row>
    <row r="71" spans="1:9">
      <c r="A71" s="220"/>
      <c r="B71" s="235" t="s">
        <v>683</v>
      </c>
      <c r="C71" s="257" t="s">
        <v>642</v>
      </c>
      <c r="D71" s="1" t="s">
        <v>189</v>
      </c>
      <c r="E71" s="208">
        <v>144</v>
      </c>
      <c r="F71" s="297">
        <f>VLOOKUP(B71,estrutura!A:AR,41,FALSE)</f>
        <v>737.01</v>
      </c>
      <c r="G71" s="297">
        <f t="shared" ref="G71:G79" si="4">TRUNC(E71*F71,2)</f>
        <v>106129.44</v>
      </c>
    </row>
    <row r="72" spans="1:9">
      <c r="A72" s="220"/>
      <c r="B72" s="235" t="s">
        <v>1388</v>
      </c>
      <c r="C72" s="257" t="s">
        <v>647</v>
      </c>
      <c r="D72" s="1" t="s">
        <v>186</v>
      </c>
      <c r="E72" s="208">
        <v>0.55000000000000004</v>
      </c>
      <c r="F72" s="297">
        <f>VLOOKUP(B72,[2]Plan1!A$1:D$65536,4,FALSE)</f>
        <v>363.71</v>
      </c>
      <c r="G72" s="297">
        <f t="shared" si="4"/>
        <v>200.04</v>
      </c>
    </row>
    <row r="73" spans="1:9">
      <c r="A73" s="220"/>
      <c r="B73" s="235" t="s">
        <v>567</v>
      </c>
      <c r="C73" s="257" t="s">
        <v>648</v>
      </c>
      <c r="D73" s="213" t="s">
        <v>186</v>
      </c>
      <c r="E73" s="208">
        <v>12.2</v>
      </c>
      <c r="F73" s="297">
        <f>VLOOKUP(B73,[1]Plan1!A$1:D$65536,4,FALSE)</f>
        <v>389.7</v>
      </c>
      <c r="G73" s="297">
        <f t="shared" si="4"/>
        <v>4754.34</v>
      </c>
    </row>
    <row r="74" spans="1:9">
      <c r="A74" s="220"/>
      <c r="B74" s="235" t="s">
        <v>248</v>
      </c>
      <c r="C74" s="253" t="s">
        <v>637</v>
      </c>
      <c r="D74" s="1" t="s">
        <v>186</v>
      </c>
      <c r="E74" s="209">
        <v>263.89999999999998</v>
      </c>
      <c r="F74" s="297">
        <f>VLOOKUP(B74,[1]Plan1!A$1:D$65536,4,FALSE)</f>
        <v>417.85</v>
      </c>
      <c r="G74" s="297">
        <f t="shared" si="4"/>
        <v>110270.61</v>
      </c>
    </row>
    <row r="75" spans="1:9">
      <c r="A75" s="220"/>
      <c r="B75" s="235" t="s">
        <v>1376</v>
      </c>
      <c r="C75" s="257" t="s">
        <v>578</v>
      </c>
      <c r="D75" s="1" t="s">
        <v>185</v>
      </c>
      <c r="E75" s="208">
        <v>1179.1500000000001</v>
      </c>
      <c r="F75" s="297">
        <f>VLOOKUP(B75,[2]Plan1!A$1:D$65536,4,FALSE)</f>
        <v>43.8</v>
      </c>
      <c r="G75" s="297">
        <f t="shared" si="4"/>
        <v>51646.77</v>
      </c>
    </row>
    <row r="76" spans="1:9">
      <c r="A76" s="220"/>
      <c r="B76" s="235" t="s">
        <v>569</v>
      </c>
      <c r="C76" s="257" t="s">
        <v>636</v>
      </c>
      <c r="D76" s="1" t="s">
        <v>246</v>
      </c>
      <c r="E76" s="208">
        <v>30805</v>
      </c>
      <c r="F76" s="297">
        <f>VLOOKUP(B76,[1]Plan1!A$1:D$65536,4,FALSE)</f>
        <v>5.97</v>
      </c>
      <c r="G76" s="297">
        <f t="shared" si="4"/>
        <v>183905.85</v>
      </c>
      <c r="I76" s="221"/>
    </row>
    <row r="77" spans="1:9">
      <c r="A77" s="220"/>
      <c r="B77" s="235" t="s">
        <v>682</v>
      </c>
      <c r="C77" s="257" t="s">
        <v>1647</v>
      </c>
      <c r="D77" s="1" t="s">
        <v>194</v>
      </c>
      <c r="E77" s="208">
        <v>12</v>
      </c>
      <c r="F77" s="297">
        <f>VLOOKUP(B77,estrutura!A:AR,41,FALSE)</f>
        <v>14.3</v>
      </c>
      <c r="G77" s="297">
        <f t="shared" si="4"/>
        <v>171.6</v>
      </c>
    </row>
    <row r="78" spans="1:9">
      <c r="A78" s="220"/>
      <c r="B78" s="235" t="s">
        <v>681</v>
      </c>
      <c r="C78" s="257" t="s">
        <v>1646</v>
      </c>
      <c r="D78" s="1" t="s">
        <v>246</v>
      </c>
      <c r="E78" s="208">
        <v>147</v>
      </c>
      <c r="F78" s="297">
        <f>VLOOKUP(B78,estrutura!A:AR,41,FALSE)</f>
        <v>39.339999999999996</v>
      </c>
      <c r="G78" s="297">
        <f t="shared" si="4"/>
        <v>5782.98</v>
      </c>
    </row>
    <row r="79" spans="1:9">
      <c r="A79" s="220"/>
      <c r="B79" s="235" t="s">
        <v>239</v>
      </c>
      <c r="C79" s="257" t="s">
        <v>649</v>
      </c>
      <c r="D79" s="1" t="s">
        <v>186</v>
      </c>
      <c r="E79" s="208">
        <v>37.15</v>
      </c>
      <c r="F79" s="209">
        <f>TRUNC(240*1.2031,2)</f>
        <v>288.74</v>
      </c>
      <c r="G79" s="297">
        <f t="shared" si="4"/>
        <v>10726.69</v>
      </c>
    </row>
    <row r="80" spans="1:9">
      <c r="A80" s="220"/>
      <c r="B80" s="235" t="s">
        <v>951</v>
      </c>
      <c r="C80" s="257" t="s">
        <v>952</v>
      </c>
      <c r="D80" s="1" t="s">
        <v>194</v>
      </c>
      <c r="E80" s="208">
        <v>32</v>
      </c>
      <c r="F80" s="297">
        <f>VLOOKUP(B80,estrutura!A:AR,41,FALSE)</f>
        <v>696.01</v>
      </c>
      <c r="G80" s="297">
        <f>TRUNC(E80*F80,2)</f>
        <v>22272.32</v>
      </c>
    </row>
    <row r="81" spans="1:7">
      <c r="A81" s="220"/>
      <c r="B81" s="235" t="s">
        <v>950</v>
      </c>
      <c r="C81" s="257" t="s">
        <v>953</v>
      </c>
      <c r="D81" s="1" t="s">
        <v>246</v>
      </c>
      <c r="E81" s="208">
        <v>3518.4</v>
      </c>
      <c r="F81" s="297">
        <f>VLOOKUP(B81,estrutura!A:AR,41,FALSE)</f>
        <v>13.030000000000001</v>
      </c>
      <c r="G81" s="297">
        <f>TRUNC(E81*F81,2)</f>
        <v>45844.75</v>
      </c>
    </row>
    <row r="82" spans="1:7">
      <c r="A82" s="50" t="s">
        <v>236</v>
      </c>
      <c r="B82" s="237"/>
      <c r="C82" s="256" t="s">
        <v>141</v>
      </c>
      <c r="D82" s="1"/>
      <c r="E82" s="208"/>
      <c r="F82" s="296"/>
      <c r="G82" s="296">
        <f>SUM(G7:G81)</f>
        <v>1133438.81</v>
      </c>
    </row>
    <row r="83" spans="1:7">
      <c r="A83" s="50"/>
      <c r="B83" s="237"/>
      <c r="C83" s="256"/>
      <c r="D83" s="1"/>
      <c r="E83" s="208"/>
      <c r="F83" s="296"/>
      <c r="G83" s="296"/>
    </row>
    <row r="84" spans="1:7">
      <c r="A84" s="51">
        <v>2</v>
      </c>
      <c r="B84" s="233">
        <v>2</v>
      </c>
      <c r="C84" s="254" t="s">
        <v>339</v>
      </c>
      <c r="D84" s="170"/>
      <c r="E84" s="299"/>
      <c r="F84" s="299"/>
      <c r="G84" s="299"/>
    </row>
    <row r="85" spans="1:7">
      <c r="A85" s="50"/>
      <c r="B85" s="235"/>
      <c r="C85" s="263" t="s">
        <v>508</v>
      </c>
      <c r="D85" s="174"/>
      <c r="E85" s="300"/>
      <c r="F85" s="97"/>
      <c r="G85" s="297"/>
    </row>
    <row r="86" spans="1:7">
      <c r="A86" s="50"/>
      <c r="B86" s="235" t="s">
        <v>713</v>
      </c>
      <c r="C86" s="252" t="s">
        <v>1340</v>
      </c>
      <c r="D86" s="1" t="s">
        <v>186</v>
      </c>
      <c r="E86" s="209">
        <f>E88-E87</f>
        <v>1657.3539999999994</v>
      </c>
      <c r="F86" s="297">
        <f>VLOOKUP(B86,[2]Plan1!A$1:D$65536,4,FALSE)</f>
        <v>3.79</v>
      </c>
      <c r="G86" s="297">
        <f t="shared" ref="G86:G92" si="5">TRUNC(E86*F86,2)</f>
        <v>6281.37</v>
      </c>
    </row>
    <row r="87" spans="1:7">
      <c r="A87" s="50"/>
      <c r="B87" s="235" t="s">
        <v>1338</v>
      </c>
      <c r="C87" s="252" t="s">
        <v>1620</v>
      </c>
      <c r="D87" s="1" t="s">
        <v>186</v>
      </c>
      <c r="E87" s="209">
        <v>16416.82</v>
      </c>
      <c r="F87" s="297">
        <v>5.05</v>
      </c>
      <c r="G87" s="297">
        <f t="shared" si="5"/>
        <v>82904.94</v>
      </c>
    </row>
    <row r="88" spans="1:7">
      <c r="A88" s="50"/>
      <c r="B88" s="235" t="s">
        <v>716</v>
      </c>
      <c r="C88" s="258" t="s">
        <v>325</v>
      </c>
      <c r="D88" s="1" t="s">
        <v>186</v>
      </c>
      <c r="E88" s="209">
        <v>18074.173999999999</v>
      </c>
      <c r="F88" s="297">
        <f>VLOOKUP(B88,[2]Plan1!A$1:D$65536,4,FALSE)</f>
        <v>0.75</v>
      </c>
      <c r="G88" s="297">
        <f t="shared" si="5"/>
        <v>13555.63</v>
      </c>
    </row>
    <row r="89" spans="1:7">
      <c r="A89" s="50"/>
      <c r="B89" s="235" t="s">
        <v>979</v>
      </c>
      <c r="C89" s="258" t="s">
        <v>1516</v>
      </c>
      <c r="D89" s="1" t="s">
        <v>186</v>
      </c>
      <c r="E89" s="209">
        <v>2952.3519999999999</v>
      </c>
      <c r="F89" s="297">
        <f>VLOOKUP(B89,ter!A:AR,41,FALSE)</f>
        <v>18.05</v>
      </c>
      <c r="G89" s="297">
        <f t="shared" si="5"/>
        <v>53289.95</v>
      </c>
    </row>
    <row r="90" spans="1:7">
      <c r="A90" s="50"/>
      <c r="B90" s="235" t="s">
        <v>1517</v>
      </c>
      <c r="C90" s="253" t="s">
        <v>1518</v>
      </c>
      <c r="D90" s="1" t="s">
        <v>186</v>
      </c>
      <c r="E90" s="209">
        <v>2271.04</v>
      </c>
      <c r="F90" s="297">
        <f>VLOOKUP(B90,[2]Plan1!A$1:D$65536,4,FALSE)</f>
        <v>1.55</v>
      </c>
      <c r="G90" s="297">
        <f t="shared" si="5"/>
        <v>3520.11</v>
      </c>
    </row>
    <row r="91" spans="1:7">
      <c r="A91" s="50"/>
      <c r="B91" s="235" t="s">
        <v>717</v>
      </c>
      <c r="C91" s="258" t="s">
        <v>326</v>
      </c>
      <c r="D91" s="1" t="s">
        <v>186</v>
      </c>
      <c r="E91" s="209">
        <v>23496.426199999998</v>
      </c>
      <c r="F91" s="297">
        <f>VLOOKUP(B91,[2]Plan1!A$1:D$65536,4,FALSE)</f>
        <v>11.36</v>
      </c>
      <c r="G91" s="297">
        <f t="shared" si="5"/>
        <v>266919.40000000002</v>
      </c>
    </row>
    <row r="92" spans="1:7">
      <c r="A92" s="50"/>
      <c r="B92" s="239" t="s">
        <v>1605</v>
      </c>
      <c r="C92" s="264" t="s">
        <v>1630</v>
      </c>
      <c r="D92" s="251" t="s">
        <v>186</v>
      </c>
      <c r="E92" s="301">
        <f>E89*1.3</f>
        <v>3838.0576000000001</v>
      </c>
      <c r="F92" s="302">
        <f>0.57*23</f>
        <v>13.11</v>
      </c>
      <c r="G92" s="302">
        <f t="shared" si="5"/>
        <v>50316.93</v>
      </c>
    </row>
    <row r="93" spans="1:7">
      <c r="A93" s="50"/>
      <c r="B93" s="235"/>
      <c r="C93" s="257"/>
      <c r="D93" s="3"/>
      <c r="E93" s="303"/>
      <c r="F93" s="93"/>
      <c r="G93" s="297"/>
    </row>
    <row r="94" spans="1:7">
      <c r="A94" s="50"/>
      <c r="B94" s="235"/>
      <c r="C94" s="263" t="s">
        <v>335</v>
      </c>
      <c r="D94" s="174"/>
      <c r="E94" s="300"/>
      <c r="F94" s="97"/>
      <c r="G94" s="297"/>
    </row>
    <row r="95" spans="1:7">
      <c r="A95" s="50"/>
      <c r="B95" s="235" t="s">
        <v>713</v>
      </c>
      <c r="C95" s="252" t="s">
        <v>1340</v>
      </c>
      <c r="D95" s="1" t="s">
        <v>186</v>
      </c>
      <c r="E95" s="209">
        <f>E97-E96</f>
        <v>9669.2099999999955</v>
      </c>
      <c r="F95" s="297">
        <f>VLOOKUP(B95,[2]Plan1!A$1:D$65536,4,FALSE)</f>
        <v>3.79</v>
      </c>
      <c r="G95" s="297">
        <f t="shared" ref="G95:G101" si="6">TRUNC(E95*F95,2)</f>
        <v>36646.300000000003</v>
      </c>
    </row>
    <row r="96" spans="1:7">
      <c r="A96" s="50"/>
      <c r="B96" s="235" t="s">
        <v>1338</v>
      </c>
      <c r="C96" s="252" t="s">
        <v>1620</v>
      </c>
      <c r="D96" s="1" t="s">
        <v>186</v>
      </c>
      <c r="E96" s="209">
        <v>16534.060000000001</v>
      </c>
      <c r="F96" s="297">
        <v>5.05</v>
      </c>
      <c r="G96" s="297">
        <f t="shared" si="6"/>
        <v>83497</v>
      </c>
    </row>
    <row r="97" spans="1:7">
      <c r="A97" s="50"/>
      <c r="B97" s="235" t="s">
        <v>716</v>
      </c>
      <c r="C97" s="258" t="s">
        <v>325</v>
      </c>
      <c r="D97" s="1" t="s">
        <v>186</v>
      </c>
      <c r="E97" s="209">
        <v>26203.269999999997</v>
      </c>
      <c r="F97" s="297">
        <f>VLOOKUP(B97,[2]Plan1!A$1:D$65536,4,FALSE)</f>
        <v>0.75</v>
      </c>
      <c r="G97" s="297">
        <f t="shared" si="6"/>
        <v>19652.45</v>
      </c>
    </row>
    <row r="98" spans="1:7">
      <c r="A98" s="50"/>
      <c r="B98" s="235" t="s">
        <v>979</v>
      </c>
      <c r="C98" s="258" t="s">
        <v>1516</v>
      </c>
      <c r="D98" s="1" t="s">
        <v>186</v>
      </c>
      <c r="E98" s="209">
        <v>1116.6299999999999</v>
      </c>
      <c r="F98" s="297">
        <f>VLOOKUP(B98,ter!A:AR,41,FALSE)</f>
        <v>18.05</v>
      </c>
      <c r="G98" s="297">
        <f t="shared" si="6"/>
        <v>20155.169999999998</v>
      </c>
    </row>
    <row r="99" spans="1:7">
      <c r="A99" s="50"/>
      <c r="B99" s="235" t="s">
        <v>1517</v>
      </c>
      <c r="C99" s="253" t="s">
        <v>1518</v>
      </c>
      <c r="D99" s="1" t="s">
        <v>186</v>
      </c>
      <c r="E99" s="209">
        <v>858.94615384615372</v>
      </c>
      <c r="F99" s="297">
        <f>VLOOKUP(B99,[2]Plan1!A$1:D$65536,4,FALSE)</f>
        <v>1.55</v>
      </c>
      <c r="G99" s="297">
        <f t="shared" si="6"/>
        <v>1331.36</v>
      </c>
    </row>
    <row r="100" spans="1:7">
      <c r="A100" s="50"/>
      <c r="B100" s="235" t="s">
        <v>717</v>
      </c>
      <c r="C100" s="258" t="s">
        <v>326</v>
      </c>
      <c r="D100" s="1" t="s">
        <v>186</v>
      </c>
      <c r="E100" s="209">
        <f>E97*1.3</f>
        <v>34064.250999999997</v>
      </c>
      <c r="F100" s="297">
        <f>VLOOKUP(B100,[2]Plan1!A$1:D$65536,4,FALSE)</f>
        <v>11.36</v>
      </c>
      <c r="G100" s="297">
        <f t="shared" si="6"/>
        <v>386969.89</v>
      </c>
    </row>
    <row r="101" spans="1:7">
      <c r="A101" s="50"/>
      <c r="B101" s="239" t="s">
        <v>1605</v>
      </c>
      <c r="C101" s="264" t="s">
        <v>1630</v>
      </c>
      <c r="D101" s="251" t="s">
        <v>186</v>
      </c>
      <c r="E101" s="301">
        <f>E98*1.3</f>
        <v>1451.6189999999999</v>
      </c>
      <c r="F101" s="302">
        <f>0.57*23</f>
        <v>13.11</v>
      </c>
      <c r="G101" s="302">
        <f t="shared" si="6"/>
        <v>19030.72</v>
      </c>
    </row>
    <row r="102" spans="1:7">
      <c r="A102" s="50"/>
      <c r="B102" s="235"/>
      <c r="C102" s="257"/>
      <c r="D102" s="3"/>
      <c r="E102" s="303"/>
      <c r="F102" s="297"/>
      <c r="G102" s="297"/>
    </row>
    <row r="103" spans="1:7">
      <c r="A103" s="50"/>
      <c r="B103" s="235"/>
      <c r="C103" s="263" t="s">
        <v>334</v>
      </c>
      <c r="D103" s="174"/>
      <c r="E103" s="300"/>
      <c r="F103" s="297"/>
      <c r="G103" s="297"/>
    </row>
    <row r="104" spans="1:7">
      <c r="A104" s="50"/>
      <c r="B104" s="235" t="s">
        <v>713</v>
      </c>
      <c r="C104" s="252" t="s">
        <v>1340</v>
      </c>
      <c r="D104" s="1" t="s">
        <v>186</v>
      </c>
      <c r="E104" s="209">
        <f>E106-E105</f>
        <v>8243.98</v>
      </c>
      <c r="F104" s="297">
        <f>VLOOKUP(B104,[2]Plan1!A$1:D$65536,4,FALSE)</f>
        <v>3.79</v>
      </c>
      <c r="G104" s="297">
        <f t="shared" ref="G104:G110" si="7">TRUNC(E104*F104,2)</f>
        <v>31244.68</v>
      </c>
    </row>
    <row r="105" spans="1:7">
      <c r="A105" s="50"/>
      <c r="B105" s="235" t="s">
        <v>1338</v>
      </c>
      <c r="C105" s="252" t="s">
        <v>1620</v>
      </c>
      <c r="D105" s="1" t="s">
        <v>186</v>
      </c>
      <c r="E105" s="209">
        <v>16930.48</v>
      </c>
      <c r="F105" s="297">
        <v>5.05</v>
      </c>
      <c r="G105" s="297">
        <f t="shared" si="7"/>
        <v>85498.92</v>
      </c>
    </row>
    <row r="106" spans="1:7">
      <c r="A106" s="50"/>
      <c r="B106" s="235" t="s">
        <v>716</v>
      </c>
      <c r="C106" s="258" t="s">
        <v>325</v>
      </c>
      <c r="D106" s="1" t="s">
        <v>186</v>
      </c>
      <c r="E106" s="209">
        <v>25174.46</v>
      </c>
      <c r="F106" s="297">
        <f>VLOOKUP(B106,[2]Plan1!A$1:D$65536,4,FALSE)</f>
        <v>0.75</v>
      </c>
      <c r="G106" s="297">
        <f t="shared" si="7"/>
        <v>18880.84</v>
      </c>
    </row>
    <row r="107" spans="1:7">
      <c r="A107" s="50"/>
      <c r="B107" s="235" t="s">
        <v>979</v>
      </c>
      <c r="C107" s="258" t="s">
        <v>1516</v>
      </c>
      <c r="D107" s="1" t="s">
        <v>186</v>
      </c>
      <c r="E107" s="209">
        <v>454.726</v>
      </c>
      <c r="F107" s="297">
        <f>VLOOKUP(B107,ter!A:AR,41,FALSE)</f>
        <v>18.05</v>
      </c>
      <c r="G107" s="297">
        <f t="shared" si="7"/>
        <v>8207.7999999999993</v>
      </c>
    </row>
    <row r="108" spans="1:7">
      <c r="A108" s="50"/>
      <c r="B108" s="235" t="s">
        <v>1517</v>
      </c>
      <c r="C108" s="253" t="s">
        <v>1518</v>
      </c>
      <c r="D108" s="1" t="s">
        <v>186</v>
      </c>
      <c r="E108" s="209">
        <v>349.78923076923076</v>
      </c>
      <c r="F108" s="297">
        <f>VLOOKUP(B108,[2]Plan1!A$1:D$65536,4,FALSE)</f>
        <v>1.55</v>
      </c>
      <c r="G108" s="297">
        <f t="shared" si="7"/>
        <v>542.16999999999996</v>
      </c>
    </row>
    <row r="109" spans="1:7">
      <c r="A109" s="50"/>
      <c r="B109" s="235" t="s">
        <v>717</v>
      </c>
      <c r="C109" s="258" t="s">
        <v>326</v>
      </c>
      <c r="D109" s="1" t="s">
        <v>186</v>
      </c>
      <c r="E109" s="209">
        <v>32726.797999999999</v>
      </c>
      <c r="F109" s="297">
        <f>VLOOKUP(B109,[2]Plan1!A$1:D$65536,4,FALSE)</f>
        <v>11.36</v>
      </c>
      <c r="G109" s="297">
        <f t="shared" si="7"/>
        <v>371776.42</v>
      </c>
    </row>
    <row r="110" spans="1:7">
      <c r="A110" s="50"/>
      <c r="B110" s="239" t="s">
        <v>1605</v>
      </c>
      <c r="C110" s="264" t="s">
        <v>1630</v>
      </c>
      <c r="D110" s="251" t="s">
        <v>186</v>
      </c>
      <c r="E110" s="301">
        <f>E107*1.3</f>
        <v>591.14380000000006</v>
      </c>
      <c r="F110" s="302">
        <f>0.57*23</f>
        <v>13.11</v>
      </c>
      <c r="G110" s="302">
        <f t="shared" si="7"/>
        <v>7749.89</v>
      </c>
    </row>
    <row r="111" spans="1:7">
      <c r="A111" s="50"/>
      <c r="B111" s="235"/>
      <c r="C111" s="252"/>
      <c r="D111" s="9"/>
      <c r="E111" s="303"/>
      <c r="F111" s="297"/>
      <c r="G111" s="297"/>
    </row>
    <row r="112" spans="1:7">
      <c r="A112" s="50"/>
      <c r="B112" s="235"/>
      <c r="C112" s="263" t="s">
        <v>193</v>
      </c>
      <c r="D112" s="174"/>
      <c r="E112" s="300"/>
      <c r="F112" s="297"/>
      <c r="G112" s="297"/>
    </row>
    <row r="113" spans="1:7">
      <c r="A113" s="50"/>
      <c r="B113" s="235" t="s">
        <v>713</v>
      </c>
      <c r="C113" s="252" t="s">
        <v>1340</v>
      </c>
      <c r="D113" s="1" t="s">
        <v>186</v>
      </c>
      <c r="E113" s="209">
        <f>E115-E114</f>
        <v>5940.42</v>
      </c>
      <c r="F113" s="297">
        <f>VLOOKUP(B113,[2]Plan1!A$1:D$65536,4,FALSE)</f>
        <v>3.79</v>
      </c>
      <c r="G113" s="297">
        <f t="shared" ref="G113:G119" si="8">TRUNC(E113*F113,2)</f>
        <v>22514.19</v>
      </c>
    </row>
    <row r="114" spans="1:7">
      <c r="A114" s="50"/>
      <c r="B114" s="235" t="s">
        <v>1338</v>
      </c>
      <c r="C114" s="252" t="s">
        <v>1620</v>
      </c>
      <c r="D114" s="1" t="s">
        <v>186</v>
      </c>
      <c r="E114" s="209">
        <v>10813.49</v>
      </c>
      <c r="F114" s="297">
        <v>5.05</v>
      </c>
      <c r="G114" s="297">
        <f t="shared" si="8"/>
        <v>54608.12</v>
      </c>
    </row>
    <row r="115" spans="1:7">
      <c r="A115" s="50"/>
      <c r="B115" s="235" t="s">
        <v>716</v>
      </c>
      <c r="C115" s="258" t="s">
        <v>325</v>
      </c>
      <c r="D115" s="1" t="s">
        <v>186</v>
      </c>
      <c r="E115" s="209">
        <v>16753.91</v>
      </c>
      <c r="F115" s="297">
        <f>VLOOKUP(B115,[2]Plan1!A$1:D$65536,4,FALSE)</f>
        <v>0.75</v>
      </c>
      <c r="G115" s="297">
        <f t="shared" si="8"/>
        <v>12565.43</v>
      </c>
    </row>
    <row r="116" spans="1:7">
      <c r="A116" s="50"/>
      <c r="B116" s="235" t="s">
        <v>979</v>
      </c>
      <c r="C116" s="258" t="s">
        <v>1516</v>
      </c>
      <c r="D116" s="1" t="s">
        <v>186</v>
      </c>
      <c r="E116" s="209">
        <v>2245.46</v>
      </c>
      <c r="F116" s="297">
        <f>VLOOKUP(B116,ter!A:AR,41,FALSE)</f>
        <v>18.05</v>
      </c>
      <c r="G116" s="297">
        <f t="shared" si="8"/>
        <v>40530.550000000003</v>
      </c>
    </row>
    <row r="117" spans="1:7">
      <c r="A117" s="50"/>
      <c r="B117" s="235" t="s">
        <v>1517</v>
      </c>
      <c r="C117" s="253" t="s">
        <v>1519</v>
      </c>
      <c r="D117" s="1" t="s">
        <v>186</v>
      </c>
      <c r="E117" s="209">
        <v>1727.2769230769231</v>
      </c>
      <c r="F117" s="297">
        <f>VLOOKUP(B117,[2]Plan1!A$1:D$65536,4,FALSE)</f>
        <v>1.55</v>
      </c>
      <c r="G117" s="297">
        <f t="shared" si="8"/>
        <v>2677.27</v>
      </c>
    </row>
    <row r="118" spans="1:7" ht="12.75" customHeight="1">
      <c r="A118" s="50"/>
      <c r="B118" s="235" t="s">
        <v>717</v>
      </c>
      <c r="C118" s="258" t="s">
        <v>326</v>
      </c>
      <c r="D118" s="1" t="s">
        <v>186</v>
      </c>
      <c r="E118" s="209">
        <v>21780.083000000002</v>
      </c>
      <c r="F118" s="297">
        <f>VLOOKUP(B118,[2]Plan1!A$1:D$65536,4,FALSE)</f>
        <v>11.36</v>
      </c>
      <c r="G118" s="297">
        <f t="shared" si="8"/>
        <v>247421.74</v>
      </c>
    </row>
    <row r="119" spans="1:7" ht="12.75" customHeight="1">
      <c r="A119" s="50"/>
      <c r="B119" s="239" t="s">
        <v>1605</v>
      </c>
      <c r="C119" s="264" t="s">
        <v>1630</v>
      </c>
      <c r="D119" s="251" t="s">
        <v>186</v>
      </c>
      <c r="E119" s="301">
        <f>E116*1.3</f>
        <v>2919.098</v>
      </c>
      <c r="F119" s="302">
        <f>0.57*23</f>
        <v>13.11</v>
      </c>
      <c r="G119" s="302">
        <f t="shared" si="8"/>
        <v>38269.370000000003</v>
      </c>
    </row>
    <row r="120" spans="1:7">
      <c r="A120" s="50"/>
      <c r="B120" s="235"/>
      <c r="C120" s="252"/>
      <c r="D120" s="9"/>
      <c r="E120" s="303"/>
      <c r="F120" s="297"/>
      <c r="G120" s="297"/>
    </row>
    <row r="121" spans="1:7">
      <c r="A121" s="50"/>
      <c r="B121" s="235"/>
      <c r="C121" s="263" t="s">
        <v>191</v>
      </c>
      <c r="D121" s="174"/>
      <c r="E121" s="300"/>
      <c r="F121" s="297"/>
      <c r="G121" s="297"/>
    </row>
    <row r="122" spans="1:7" ht="12.75" customHeight="1">
      <c r="A122" s="50"/>
      <c r="B122" s="235" t="s">
        <v>713</v>
      </c>
      <c r="C122" s="252" t="s">
        <v>1340</v>
      </c>
      <c r="D122" s="1" t="s">
        <v>186</v>
      </c>
      <c r="E122" s="209">
        <f>E124-E123</f>
        <v>4893.2599999999984</v>
      </c>
      <c r="F122" s="297">
        <f>VLOOKUP(B122,[2]Plan1!A$1:D$65536,4,FALSE)</f>
        <v>3.79</v>
      </c>
      <c r="G122" s="297">
        <f t="shared" ref="G122:G128" si="9">TRUNC(E122*F122,2)</f>
        <v>18545.45</v>
      </c>
    </row>
    <row r="123" spans="1:7" ht="12.75" customHeight="1">
      <c r="A123" s="50"/>
      <c r="B123" s="235" t="s">
        <v>1338</v>
      </c>
      <c r="C123" s="252" t="s">
        <v>1620</v>
      </c>
      <c r="D123" s="1" t="s">
        <v>186</v>
      </c>
      <c r="E123" s="209">
        <v>11284.82</v>
      </c>
      <c r="F123" s="297">
        <v>5.05</v>
      </c>
      <c r="G123" s="297">
        <f t="shared" si="9"/>
        <v>56988.34</v>
      </c>
    </row>
    <row r="124" spans="1:7" ht="12.75" customHeight="1">
      <c r="A124" s="50"/>
      <c r="B124" s="235" t="s">
        <v>716</v>
      </c>
      <c r="C124" s="258" t="s">
        <v>325</v>
      </c>
      <c r="D124" s="1" t="s">
        <v>186</v>
      </c>
      <c r="E124" s="209">
        <v>16178.079999999998</v>
      </c>
      <c r="F124" s="297">
        <f>VLOOKUP(B124,[2]Plan1!A$1:D$65536,4,FALSE)</f>
        <v>0.75</v>
      </c>
      <c r="G124" s="297">
        <f t="shared" si="9"/>
        <v>12133.56</v>
      </c>
    </row>
    <row r="125" spans="1:7" ht="12.75" customHeight="1">
      <c r="A125" s="50"/>
      <c r="B125" s="235" t="s">
        <v>979</v>
      </c>
      <c r="C125" s="258" t="s">
        <v>1516</v>
      </c>
      <c r="D125" s="1" t="s">
        <v>186</v>
      </c>
      <c r="E125" s="209">
        <v>4985.9840000000004</v>
      </c>
      <c r="F125" s="297">
        <f>VLOOKUP(B125,ter!A:AR,41,FALSE)</f>
        <v>18.05</v>
      </c>
      <c r="G125" s="297">
        <f t="shared" si="9"/>
        <v>89997.01</v>
      </c>
    </row>
    <row r="126" spans="1:7">
      <c r="A126" s="50"/>
      <c r="B126" s="235" t="s">
        <v>1517</v>
      </c>
      <c r="C126" s="253" t="s">
        <v>1519</v>
      </c>
      <c r="D126" s="1" t="s">
        <v>186</v>
      </c>
      <c r="E126" s="209">
        <v>3835.3723076923079</v>
      </c>
      <c r="F126" s="297">
        <f>VLOOKUP(B126,[2]Plan1!A$1:D$65536,4,FALSE)</f>
        <v>1.55</v>
      </c>
      <c r="G126" s="297">
        <f t="shared" si="9"/>
        <v>5944.82</v>
      </c>
    </row>
    <row r="127" spans="1:7">
      <c r="A127" s="50"/>
      <c r="B127" s="235" t="s">
        <v>717</v>
      </c>
      <c r="C127" s="258" t="s">
        <v>326</v>
      </c>
      <c r="D127" s="1" t="s">
        <v>186</v>
      </c>
      <c r="E127" s="209">
        <v>21031.503999999997</v>
      </c>
      <c r="F127" s="297">
        <f>VLOOKUP(B127,[2]Plan1!A$1:D$65536,4,FALSE)</f>
        <v>11.36</v>
      </c>
      <c r="G127" s="297">
        <f t="shared" si="9"/>
        <v>238917.88</v>
      </c>
    </row>
    <row r="128" spans="1:7">
      <c r="A128" s="50"/>
      <c r="B128" s="239" t="s">
        <v>1605</v>
      </c>
      <c r="C128" s="264" t="s">
        <v>1630</v>
      </c>
      <c r="D128" s="251" t="s">
        <v>186</v>
      </c>
      <c r="E128" s="301">
        <f>E125*1.3</f>
        <v>6481.7792000000009</v>
      </c>
      <c r="F128" s="302">
        <f>0.57*23</f>
        <v>13.11</v>
      </c>
      <c r="G128" s="302">
        <f t="shared" si="9"/>
        <v>84976.12</v>
      </c>
    </row>
    <row r="129" spans="1:8">
      <c r="A129" s="50"/>
      <c r="B129" s="235"/>
      <c r="C129" s="252"/>
      <c r="D129" s="9"/>
      <c r="E129" s="303"/>
      <c r="F129" s="297"/>
      <c r="G129" s="297"/>
    </row>
    <row r="130" spans="1:8">
      <c r="A130" s="50"/>
      <c r="B130" s="235"/>
      <c r="C130" s="263" t="s">
        <v>509</v>
      </c>
      <c r="D130" s="174"/>
      <c r="E130" s="300"/>
      <c r="F130" s="297"/>
      <c r="G130" s="297"/>
    </row>
    <row r="131" spans="1:8">
      <c r="A131" s="50"/>
      <c r="B131" s="235" t="s">
        <v>713</v>
      </c>
      <c r="C131" s="252" t="s">
        <v>1340</v>
      </c>
      <c r="D131" s="1" t="s">
        <v>186</v>
      </c>
      <c r="E131" s="209">
        <f>E133-E132</f>
        <v>1173.29</v>
      </c>
      <c r="F131" s="297">
        <f>VLOOKUP(B131,[2]Plan1!A$1:D$65536,4,FALSE)</f>
        <v>3.79</v>
      </c>
      <c r="G131" s="297">
        <f>TRUNC(E131*F131,2)</f>
        <v>4446.76</v>
      </c>
    </row>
    <row r="132" spans="1:8">
      <c r="A132" s="50"/>
      <c r="B132" s="235" t="s">
        <v>1338</v>
      </c>
      <c r="C132" s="252" t="s">
        <v>1620</v>
      </c>
      <c r="D132" s="1" t="s">
        <v>186</v>
      </c>
      <c r="E132" s="209">
        <v>555.71</v>
      </c>
      <c r="F132" s="297">
        <v>5.05</v>
      </c>
      <c r="G132" s="297">
        <f>TRUNC(E132*F132,2)</f>
        <v>2806.33</v>
      </c>
    </row>
    <row r="133" spans="1:8">
      <c r="A133" s="50"/>
      <c r="B133" s="235" t="s">
        <v>716</v>
      </c>
      <c r="C133" s="258" t="s">
        <v>325</v>
      </c>
      <c r="D133" s="1" t="s">
        <v>186</v>
      </c>
      <c r="E133" s="209">
        <v>1729</v>
      </c>
      <c r="F133" s="297">
        <f>VLOOKUP(B133,[2]Plan1!A$1:D$65536,4,FALSE)</f>
        <v>0.75</v>
      </c>
      <c r="G133" s="297">
        <f>TRUNC(E133*F133,2)</f>
        <v>1296.75</v>
      </c>
    </row>
    <row r="134" spans="1:8">
      <c r="A134" s="50"/>
      <c r="B134" s="235" t="s">
        <v>717</v>
      </c>
      <c r="C134" s="258" t="s">
        <v>326</v>
      </c>
      <c r="D134" s="1" t="s">
        <v>186</v>
      </c>
      <c r="E134" s="209">
        <v>2247.7000000000003</v>
      </c>
      <c r="F134" s="297">
        <f>VLOOKUP(B134,[2]Plan1!A$1:D$65536,4,FALSE)</f>
        <v>11.36</v>
      </c>
      <c r="G134" s="297">
        <f>TRUNC(E134*F134,2)</f>
        <v>25533.87</v>
      </c>
    </row>
    <row r="135" spans="1:8">
      <c r="A135" s="50"/>
      <c r="B135" s="235"/>
      <c r="C135" s="257"/>
      <c r="D135" s="3"/>
      <c r="E135" s="303"/>
      <c r="F135" s="297"/>
      <c r="G135" s="297"/>
    </row>
    <row r="136" spans="1:8">
      <c r="A136" s="50"/>
      <c r="B136" s="235"/>
      <c r="C136" s="263" t="s">
        <v>510</v>
      </c>
      <c r="D136" s="174"/>
      <c r="E136" s="300"/>
      <c r="F136" s="297"/>
      <c r="G136" s="297"/>
    </row>
    <row r="137" spans="1:8">
      <c r="A137" s="50"/>
      <c r="B137" s="235" t="s">
        <v>713</v>
      </c>
      <c r="C137" s="252" t="s">
        <v>1340</v>
      </c>
      <c r="D137" s="1" t="s">
        <v>186</v>
      </c>
      <c r="E137" s="209">
        <f>E139-E138</f>
        <v>2051.38</v>
      </c>
      <c r="F137" s="297">
        <f>VLOOKUP(B137,[2]Plan1!A$1:D$65536,4,FALSE)</f>
        <v>3.79</v>
      </c>
      <c r="G137" s="297">
        <f>TRUNC(E137*F137,2)</f>
        <v>7774.73</v>
      </c>
      <c r="H137" s="221"/>
    </row>
    <row r="138" spans="1:8">
      <c r="A138" s="50"/>
      <c r="B138" s="235" t="s">
        <v>1338</v>
      </c>
      <c r="C138" s="252" t="s">
        <v>1620</v>
      </c>
      <c r="D138" s="1" t="s">
        <v>186</v>
      </c>
      <c r="E138" s="209">
        <v>971.62</v>
      </c>
      <c r="F138" s="297">
        <v>5.05</v>
      </c>
      <c r="G138" s="297">
        <f>TRUNC(E138*F138,2)</f>
        <v>4906.68</v>
      </c>
    </row>
    <row r="139" spans="1:8">
      <c r="A139" s="50"/>
      <c r="B139" s="235" t="s">
        <v>716</v>
      </c>
      <c r="C139" s="258" t="s">
        <v>325</v>
      </c>
      <c r="D139" s="1" t="s">
        <v>186</v>
      </c>
      <c r="E139" s="209">
        <v>3023</v>
      </c>
      <c r="F139" s="297">
        <f>VLOOKUP(B139,[2]Plan1!A$1:D$65536,4,FALSE)</f>
        <v>0.75</v>
      </c>
      <c r="G139" s="297">
        <f>TRUNC(E139*F139,2)</f>
        <v>2267.25</v>
      </c>
    </row>
    <row r="140" spans="1:8">
      <c r="A140" s="50"/>
      <c r="B140" s="235" t="s">
        <v>717</v>
      </c>
      <c r="C140" s="258" t="s">
        <v>326</v>
      </c>
      <c r="D140" s="1" t="s">
        <v>186</v>
      </c>
      <c r="E140" s="209">
        <v>3929.9</v>
      </c>
      <c r="F140" s="297">
        <f>VLOOKUP(B140,[2]Plan1!A$1:D$65536,4,FALSE)</f>
        <v>11.36</v>
      </c>
      <c r="G140" s="297">
        <f>TRUNC(E140*F140,2)</f>
        <v>44643.66</v>
      </c>
    </row>
    <row r="141" spans="1:8">
      <c r="A141" s="50"/>
      <c r="B141" s="235"/>
      <c r="C141" s="252"/>
      <c r="D141" s="9"/>
      <c r="E141" s="303"/>
      <c r="F141" s="297"/>
      <c r="G141" s="297"/>
    </row>
    <row r="142" spans="1:8">
      <c r="A142" s="50"/>
      <c r="B142" s="235"/>
      <c r="C142" s="263" t="s">
        <v>504</v>
      </c>
      <c r="D142" s="174"/>
      <c r="E142" s="300"/>
      <c r="F142" s="297"/>
      <c r="G142" s="297"/>
    </row>
    <row r="143" spans="1:8">
      <c r="A143" s="50"/>
      <c r="B143" s="235" t="s">
        <v>1338</v>
      </c>
      <c r="C143" s="252" t="s">
        <v>1620</v>
      </c>
      <c r="D143" s="1" t="s">
        <v>186</v>
      </c>
      <c r="E143" s="209">
        <v>3259.69</v>
      </c>
      <c r="F143" s="297">
        <v>5.05</v>
      </c>
      <c r="G143" s="297">
        <f t="shared" ref="G143:G148" si="10">TRUNC(E143*F143,2)</f>
        <v>16461.43</v>
      </c>
    </row>
    <row r="144" spans="1:8">
      <c r="A144" s="50"/>
      <c r="B144" s="235" t="s">
        <v>716</v>
      </c>
      <c r="C144" s="258" t="s">
        <v>325</v>
      </c>
      <c r="D144" s="1" t="s">
        <v>186</v>
      </c>
      <c r="E144" s="209">
        <v>3259.69</v>
      </c>
      <c r="F144" s="297">
        <f>VLOOKUP(B144,[2]Plan1!A$1:D$65536,4,FALSE)</f>
        <v>0.75</v>
      </c>
      <c r="G144" s="297">
        <f t="shared" si="10"/>
        <v>2444.7600000000002</v>
      </c>
    </row>
    <row r="145" spans="1:9">
      <c r="A145" s="50"/>
      <c r="B145" s="235" t="s">
        <v>979</v>
      </c>
      <c r="C145" s="258" t="s">
        <v>1516</v>
      </c>
      <c r="D145" s="1" t="s">
        <v>186</v>
      </c>
      <c r="E145" s="209">
        <v>1213</v>
      </c>
      <c r="F145" s="297">
        <f>VLOOKUP(B145,ter!A:AR,41,FALSE)</f>
        <v>18.05</v>
      </c>
      <c r="G145" s="297">
        <f t="shared" si="10"/>
        <v>21894.65</v>
      </c>
    </row>
    <row r="146" spans="1:9">
      <c r="A146" s="50"/>
      <c r="B146" s="235" t="s">
        <v>1517</v>
      </c>
      <c r="C146" s="253" t="s">
        <v>1519</v>
      </c>
      <c r="D146" s="1" t="s">
        <v>186</v>
      </c>
      <c r="E146" s="209">
        <v>933.07692307692309</v>
      </c>
      <c r="F146" s="297">
        <f>VLOOKUP(B146,[2]Plan1!A$1:D$65536,4,FALSE)</f>
        <v>1.55</v>
      </c>
      <c r="G146" s="297">
        <f t="shared" si="10"/>
        <v>1446.26</v>
      </c>
    </row>
    <row r="147" spans="1:9">
      <c r="A147" s="50"/>
      <c r="B147" s="235" t="s">
        <v>717</v>
      </c>
      <c r="C147" s="258" t="s">
        <v>326</v>
      </c>
      <c r="D147" s="1" t="s">
        <v>186</v>
      </c>
      <c r="E147" s="209">
        <v>2550.6</v>
      </c>
      <c r="F147" s="297">
        <f>VLOOKUP(B147,[2]Plan1!A$1:D$65536,4,FALSE)</f>
        <v>11.36</v>
      </c>
      <c r="G147" s="297">
        <f t="shared" si="10"/>
        <v>28974.81</v>
      </c>
    </row>
    <row r="148" spans="1:9">
      <c r="A148" s="50"/>
      <c r="B148" s="239" t="s">
        <v>1605</v>
      </c>
      <c r="C148" s="264" t="s">
        <v>1630</v>
      </c>
      <c r="D148" s="251" t="s">
        <v>186</v>
      </c>
      <c r="E148" s="301">
        <f>E145*1.3</f>
        <v>1576.9</v>
      </c>
      <c r="F148" s="302">
        <f>0.57*23</f>
        <v>13.11</v>
      </c>
      <c r="G148" s="302">
        <f t="shared" si="10"/>
        <v>20673.150000000001</v>
      </c>
    </row>
    <row r="149" spans="1:9">
      <c r="A149" s="50"/>
      <c r="B149" s="235"/>
      <c r="C149" s="258"/>
      <c r="D149" s="1"/>
      <c r="E149" s="209"/>
      <c r="F149" s="297"/>
      <c r="G149" s="297"/>
    </row>
    <row r="150" spans="1:9">
      <c r="A150" s="50"/>
      <c r="B150" s="235"/>
      <c r="C150" s="263" t="s">
        <v>511</v>
      </c>
      <c r="D150" s="174"/>
      <c r="E150" s="300"/>
      <c r="F150" s="97"/>
      <c r="G150" s="297"/>
    </row>
    <row r="151" spans="1:9">
      <c r="A151" s="50"/>
      <c r="B151" s="235" t="s">
        <v>1338</v>
      </c>
      <c r="C151" s="252" t="s">
        <v>1620</v>
      </c>
      <c r="D151" s="1" t="s">
        <v>186</v>
      </c>
      <c r="E151" s="209">
        <v>2314.73</v>
      </c>
      <c r="F151" s="297">
        <v>5.05</v>
      </c>
      <c r="G151" s="297">
        <f t="shared" ref="G151:G156" si="11">TRUNC(E151*F151,2)</f>
        <v>11689.38</v>
      </c>
      <c r="H151" s="221"/>
      <c r="I151" s="221"/>
    </row>
    <row r="152" spans="1:9">
      <c r="A152" s="50"/>
      <c r="B152" s="235" t="s">
        <v>716</v>
      </c>
      <c r="C152" s="258" t="s">
        <v>325</v>
      </c>
      <c r="D152" s="1" t="s">
        <v>186</v>
      </c>
      <c r="E152" s="209">
        <v>2314.73</v>
      </c>
      <c r="F152" s="297">
        <f>VLOOKUP(B152,[2]Plan1!A$1:D$65536,4,FALSE)</f>
        <v>0.75</v>
      </c>
      <c r="G152" s="297">
        <f t="shared" si="11"/>
        <v>1736.04</v>
      </c>
    </row>
    <row r="153" spans="1:9">
      <c r="A153" s="50"/>
      <c r="B153" s="235" t="s">
        <v>979</v>
      </c>
      <c r="C153" s="258" t="s">
        <v>1516</v>
      </c>
      <c r="D153" s="1" t="s">
        <v>186</v>
      </c>
      <c r="E153" s="209">
        <v>116.74000000000001</v>
      </c>
      <c r="F153" s="297">
        <f>VLOOKUP(B153,ter!A:AR,41,FALSE)</f>
        <v>18.05</v>
      </c>
      <c r="G153" s="297">
        <f t="shared" si="11"/>
        <v>2107.15</v>
      </c>
    </row>
    <row r="154" spans="1:9">
      <c r="A154" s="50"/>
      <c r="B154" s="235" t="s">
        <v>1517</v>
      </c>
      <c r="C154" s="253" t="s">
        <v>1520</v>
      </c>
      <c r="D154" s="1" t="s">
        <v>186</v>
      </c>
      <c r="E154" s="209">
        <v>89.8</v>
      </c>
      <c r="F154" s="297">
        <f>VLOOKUP(B154,[2]Plan1!A$1:D$65536,4,FALSE)</f>
        <v>1.55</v>
      </c>
      <c r="G154" s="297">
        <f t="shared" si="11"/>
        <v>139.19</v>
      </c>
    </row>
    <row r="155" spans="1:9">
      <c r="A155" s="50"/>
      <c r="B155" s="235" t="s">
        <v>717</v>
      </c>
      <c r="C155" s="258" t="s">
        <v>326</v>
      </c>
      <c r="D155" s="1" t="s">
        <v>186</v>
      </c>
      <c r="E155" s="209">
        <v>2372.5</v>
      </c>
      <c r="F155" s="297">
        <f>VLOOKUP(B155,[2]Plan1!A$1:D$65536,4,FALSE)</f>
        <v>11.36</v>
      </c>
      <c r="G155" s="297">
        <f t="shared" si="11"/>
        <v>26951.599999999999</v>
      </c>
    </row>
    <row r="156" spans="1:9">
      <c r="A156" s="50"/>
      <c r="B156" s="239" t="s">
        <v>1605</v>
      </c>
      <c r="C156" s="264" t="s">
        <v>1630</v>
      </c>
      <c r="D156" s="251" t="s">
        <v>186</v>
      </c>
      <c r="E156" s="301">
        <f>E153*1.3</f>
        <v>151.76200000000003</v>
      </c>
      <c r="F156" s="302">
        <f>0.57*23</f>
        <v>13.11</v>
      </c>
      <c r="G156" s="302">
        <f t="shared" si="11"/>
        <v>1989.59</v>
      </c>
    </row>
    <row r="157" spans="1:9">
      <c r="A157" s="50"/>
      <c r="B157" s="235"/>
      <c r="C157" s="258"/>
      <c r="D157" s="1"/>
      <c r="E157" s="209"/>
      <c r="F157" s="297"/>
      <c r="G157" s="297"/>
    </row>
    <row r="158" spans="1:9">
      <c r="A158" s="50"/>
      <c r="B158" s="235"/>
      <c r="C158" s="263" t="s">
        <v>512</v>
      </c>
      <c r="D158" s="174"/>
      <c r="E158" s="300"/>
      <c r="F158" s="297"/>
      <c r="G158" s="297"/>
    </row>
    <row r="159" spans="1:9">
      <c r="A159" s="50"/>
      <c r="B159" s="235" t="s">
        <v>1338</v>
      </c>
      <c r="C159" s="252" t="s">
        <v>1620</v>
      </c>
      <c r="D159" s="1" t="s">
        <v>186</v>
      </c>
      <c r="E159" s="209">
        <v>1953.08</v>
      </c>
      <c r="F159" s="297">
        <v>5.05</v>
      </c>
      <c r="G159" s="297">
        <f t="shared" ref="G159:G164" si="12">TRUNC(E159*F159,2)</f>
        <v>9863.0499999999993</v>
      </c>
    </row>
    <row r="160" spans="1:9">
      <c r="A160" s="50"/>
      <c r="B160" s="235" t="s">
        <v>716</v>
      </c>
      <c r="C160" s="258" t="s">
        <v>325</v>
      </c>
      <c r="D160" s="1" t="s">
        <v>186</v>
      </c>
      <c r="E160" s="209">
        <v>1953.08</v>
      </c>
      <c r="F160" s="297">
        <f>VLOOKUP(B160,[2]Plan1!A$1:D$65536,4,FALSE)</f>
        <v>0.75</v>
      </c>
      <c r="G160" s="297">
        <f t="shared" si="12"/>
        <v>1464.81</v>
      </c>
    </row>
    <row r="161" spans="1:7">
      <c r="A161" s="50"/>
      <c r="B161" s="235" t="s">
        <v>979</v>
      </c>
      <c r="C161" s="258" t="s">
        <v>1516</v>
      </c>
      <c r="D161" s="1" t="s">
        <v>186</v>
      </c>
      <c r="E161" s="209">
        <v>371</v>
      </c>
      <c r="F161" s="297">
        <f>VLOOKUP(B161,ter!A:AR,41,FALSE)</f>
        <v>18.05</v>
      </c>
      <c r="G161" s="297">
        <f t="shared" si="12"/>
        <v>6696.55</v>
      </c>
    </row>
    <row r="162" spans="1:7">
      <c r="A162" s="50"/>
      <c r="B162" s="235" t="s">
        <v>1517</v>
      </c>
      <c r="C162" s="253" t="s">
        <v>1519</v>
      </c>
      <c r="D162" s="1" t="s">
        <v>186</v>
      </c>
      <c r="E162" s="209">
        <v>285.38461538461536</v>
      </c>
      <c r="F162" s="297">
        <f>VLOOKUP(B162,[2]Plan1!A$1:D$65536,4,FALSE)</f>
        <v>1.55</v>
      </c>
      <c r="G162" s="297">
        <f t="shared" si="12"/>
        <v>442.34</v>
      </c>
    </row>
    <row r="163" spans="1:7">
      <c r="A163" s="50"/>
      <c r="B163" s="235" t="s">
        <v>717</v>
      </c>
      <c r="C163" s="258" t="s">
        <v>326</v>
      </c>
      <c r="D163" s="1" t="s">
        <v>186</v>
      </c>
      <c r="E163" s="209">
        <v>2407.6</v>
      </c>
      <c r="F163" s="297">
        <f>VLOOKUP(B163,[2]Plan1!A$1:D$65536,4,FALSE)</f>
        <v>11.36</v>
      </c>
      <c r="G163" s="297">
        <f t="shared" si="12"/>
        <v>27350.33</v>
      </c>
    </row>
    <row r="164" spans="1:7">
      <c r="A164" s="50"/>
      <c r="B164" s="239" t="s">
        <v>1605</v>
      </c>
      <c r="C164" s="264" t="s">
        <v>1630</v>
      </c>
      <c r="D164" s="251" t="s">
        <v>186</v>
      </c>
      <c r="E164" s="301">
        <f>E161*1.3</f>
        <v>482.3</v>
      </c>
      <c r="F164" s="302">
        <f>0.57*23</f>
        <v>13.11</v>
      </c>
      <c r="G164" s="302">
        <f t="shared" si="12"/>
        <v>6322.95</v>
      </c>
    </row>
    <row r="165" spans="1:7">
      <c r="A165" s="50" t="s">
        <v>237</v>
      </c>
      <c r="B165" s="235"/>
      <c r="C165" s="256" t="s">
        <v>281</v>
      </c>
      <c r="D165" s="1"/>
      <c r="E165" s="208"/>
      <c r="F165" s="296"/>
      <c r="G165" s="296">
        <f>SUM(G86:G164)</f>
        <v>2776385.8599999989</v>
      </c>
    </row>
    <row r="166" spans="1:7">
      <c r="A166" s="50"/>
      <c r="B166" s="235"/>
      <c r="C166" s="256"/>
      <c r="D166" s="1"/>
      <c r="E166" s="208"/>
      <c r="F166" s="296"/>
      <c r="G166" s="296"/>
    </row>
    <row r="167" spans="1:7">
      <c r="A167" s="51">
        <v>3</v>
      </c>
      <c r="B167" s="233">
        <v>3</v>
      </c>
      <c r="C167" s="254" t="s">
        <v>340</v>
      </c>
      <c r="D167" s="170"/>
      <c r="E167" s="178"/>
      <c r="F167" s="178"/>
      <c r="G167" s="178"/>
    </row>
    <row r="168" spans="1:7" s="219" customFormat="1">
      <c r="A168" s="179"/>
      <c r="B168" s="235"/>
      <c r="C168" s="265" t="s">
        <v>316</v>
      </c>
      <c r="D168" s="4"/>
      <c r="E168" s="304"/>
      <c r="F168" s="296"/>
      <c r="G168" s="296"/>
    </row>
    <row r="169" spans="1:7" s="219" customFormat="1">
      <c r="A169" s="179"/>
      <c r="B169" s="235"/>
      <c r="C169" s="266" t="s">
        <v>503</v>
      </c>
      <c r="D169" s="4"/>
      <c r="E169" s="304"/>
      <c r="F169" s="296"/>
      <c r="G169" s="296"/>
    </row>
    <row r="170" spans="1:7" s="219" customFormat="1">
      <c r="A170" s="179"/>
      <c r="B170" s="235" t="s">
        <v>719</v>
      </c>
      <c r="C170" s="267" t="s">
        <v>442</v>
      </c>
      <c r="D170" s="4" t="s">
        <v>186</v>
      </c>
      <c r="E170" s="304">
        <v>9230.52</v>
      </c>
      <c r="F170" s="209">
        <f>VLOOKUP(B170,[2]Plan1!A$1:D$65536,4,FALSE)</f>
        <v>21.68</v>
      </c>
      <c r="G170" s="49">
        <f t="shared" ref="G170:G179" si="13">TRUNC(E170*F170,2)</f>
        <v>200117.67</v>
      </c>
    </row>
    <row r="171" spans="1:7" s="219" customFormat="1">
      <c r="A171" s="179"/>
      <c r="B171" s="239" t="s">
        <v>1605</v>
      </c>
      <c r="C171" s="268" t="s">
        <v>1631</v>
      </c>
      <c r="D171" s="210" t="s">
        <v>186</v>
      </c>
      <c r="E171" s="305">
        <f>E170*1.5</f>
        <v>13845.78</v>
      </c>
      <c r="F171" s="301">
        <f>0.57*23.9</f>
        <v>13.622999999999998</v>
      </c>
      <c r="G171" s="306">
        <f t="shared" si="13"/>
        <v>188621.06</v>
      </c>
    </row>
    <row r="172" spans="1:7" s="219" customFormat="1">
      <c r="A172" s="179"/>
      <c r="B172" s="235" t="s">
        <v>713</v>
      </c>
      <c r="C172" s="262" t="s">
        <v>994</v>
      </c>
      <c r="D172" s="4" t="s">
        <v>186</v>
      </c>
      <c r="E172" s="304">
        <v>23340.6</v>
      </c>
      <c r="F172" s="209">
        <f>VLOOKUP(B172,[2]Plan1!A$1:D$65536,4,FALSE)</f>
        <v>3.79</v>
      </c>
      <c r="G172" s="49">
        <f t="shared" si="13"/>
        <v>88460.87</v>
      </c>
    </row>
    <row r="173" spans="1:7" s="219" customFormat="1">
      <c r="A173" s="179"/>
      <c r="B173" s="250" t="s">
        <v>1605</v>
      </c>
      <c r="C173" s="268" t="s">
        <v>1635</v>
      </c>
      <c r="D173" s="210" t="s">
        <v>186</v>
      </c>
      <c r="E173" s="305">
        <f>E172*1.3</f>
        <v>30342.78</v>
      </c>
      <c r="F173" s="301">
        <f>0.57*11.9</f>
        <v>6.7829999999999995</v>
      </c>
      <c r="G173" s="306">
        <f t="shared" si="13"/>
        <v>205815.07</v>
      </c>
    </row>
    <row r="174" spans="1:7" s="219" customFormat="1">
      <c r="A174" s="179"/>
      <c r="B174" s="235" t="s">
        <v>730</v>
      </c>
      <c r="C174" s="262" t="s">
        <v>190</v>
      </c>
      <c r="D174" s="4" t="s">
        <v>189</v>
      </c>
      <c r="E174" s="304">
        <v>7600</v>
      </c>
      <c r="F174" s="209">
        <f>VLOOKUP(B174,[2]Plan1!A$1:D$65536,4,FALSE)</f>
        <v>6.39</v>
      </c>
      <c r="G174" s="49">
        <f t="shared" si="13"/>
        <v>48564</v>
      </c>
    </row>
    <row r="175" spans="1:7" s="219" customFormat="1">
      <c r="A175" s="179"/>
      <c r="B175" s="236" t="s">
        <v>1621</v>
      </c>
      <c r="C175" s="252" t="s">
        <v>1632</v>
      </c>
      <c r="D175" s="218" t="s">
        <v>186</v>
      </c>
      <c r="E175" s="304">
        <f>E174*0.1*1.5</f>
        <v>1140</v>
      </c>
      <c r="F175" s="209">
        <f>VLOOKUP(B175,[2]Plan1!A$1:D$65536,4,FALSE)</f>
        <v>1.1299999999999999</v>
      </c>
      <c r="G175" s="49">
        <f t="shared" si="13"/>
        <v>1288.2</v>
      </c>
    </row>
    <row r="176" spans="1:7" s="219" customFormat="1" ht="11.25" customHeight="1">
      <c r="A176" s="179"/>
      <c r="B176" s="239" t="s">
        <v>1605</v>
      </c>
      <c r="C176" s="268" t="s">
        <v>1634</v>
      </c>
      <c r="D176" s="210" t="s">
        <v>186</v>
      </c>
      <c r="E176" s="305">
        <f>E175</f>
        <v>1140</v>
      </c>
      <c r="F176" s="301">
        <f>0.57*37.7</f>
        <v>21.489000000000001</v>
      </c>
      <c r="G176" s="306">
        <f t="shared" si="13"/>
        <v>24497.46</v>
      </c>
    </row>
    <row r="177" spans="1:7" s="219" customFormat="1">
      <c r="A177" s="179"/>
      <c r="B177" s="235" t="s">
        <v>730</v>
      </c>
      <c r="C177" s="262" t="s">
        <v>1568</v>
      </c>
      <c r="D177" s="4" t="s">
        <v>189</v>
      </c>
      <c r="E177" s="304">
        <v>270</v>
      </c>
      <c r="F177" s="209">
        <v>6.39</v>
      </c>
      <c r="G177" s="49">
        <f t="shared" si="13"/>
        <v>1725.3</v>
      </c>
    </row>
    <row r="178" spans="1:7" s="219" customFormat="1">
      <c r="A178" s="179"/>
      <c r="B178" s="236" t="s">
        <v>1621</v>
      </c>
      <c r="C178" s="252" t="s">
        <v>1632</v>
      </c>
      <c r="D178" s="218" t="s">
        <v>186</v>
      </c>
      <c r="E178" s="304">
        <f>E177*0.25*1.5</f>
        <v>101.25</v>
      </c>
      <c r="F178" s="209">
        <f>VLOOKUP(B178,[2]Plan1!A$1:D$65536,4,FALSE)</f>
        <v>1.1299999999999999</v>
      </c>
      <c r="G178" s="49">
        <f t="shared" si="13"/>
        <v>114.41</v>
      </c>
    </row>
    <row r="179" spans="1:7" s="219" customFormat="1" ht="11.25" customHeight="1">
      <c r="A179" s="179"/>
      <c r="B179" s="239" t="s">
        <v>1605</v>
      </c>
      <c r="C179" s="268" t="s">
        <v>1636</v>
      </c>
      <c r="D179" s="210" t="s">
        <v>186</v>
      </c>
      <c r="E179" s="306">
        <f>E178</f>
        <v>101.25</v>
      </c>
      <c r="F179" s="301">
        <f>0.57*37.7</f>
        <v>21.489000000000001</v>
      </c>
      <c r="G179" s="306">
        <f t="shared" si="13"/>
        <v>2175.7600000000002</v>
      </c>
    </row>
    <row r="180" spans="1:7" s="219" customFormat="1">
      <c r="A180" s="179"/>
      <c r="B180" s="235">
        <v>1152</v>
      </c>
      <c r="C180" s="252" t="s">
        <v>995</v>
      </c>
      <c r="D180" s="9" t="s">
        <v>194</v>
      </c>
      <c r="E180" s="49">
        <v>45</v>
      </c>
      <c r="F180" s="209">
        <f>+TRUNC(78.08*(456.49/400.353),2)</f>
        <v>89.02</v>
      </c>
      <c r="G180" s="49">
        <f>TRUNC(E180*F180,2)</f>
        <v>4005.9</v>
      </c>
    </row>
    <row r="181" spans="1:7" s="219" customFormat="1">
      <c r="A181" s="179"/>
      <c r="B181" s="235" t="s">
        <v>579</v>
      </c>
      <c r="C181" s="294" t="s">
        <v>1645</v>
      </c>
      <c r="D181" s="4" t="s">
        <v>186</v>
      </c>
      <c r="E181" s="49">
        <f>69</f>
        <v>69</v>
      </c>
      <c r="F181" s="209">
        <v>211.9</v>
      </c>
      <c r="G181" s="49">
        <f>TRUNC(E181*F181,2)</f>
        <v>14621.1</v>
      </c>
    </row>
    <row r="182" spans="1:7" s="219" customFormat="1">
      <c r="A182" s="179"/>
      <c r="B182" s="236" t="s">
        <v>1621</v>
      </c>
      <c r="C182" s="252" t="s">
        <v>1632</v>
      </c>
      <c r="D182" s="218" t="s">
        <v>186</v>
      </c>
      <c r="E182" s="49">
        <f>E181*1.5</f>
        <v>103.5</v>
      </c>
      <c r="F182" s="209">
        <f>VLOOKUP(B182,[2]Plan1!A$1:D$65536,4,FALSE)</f>
        <v>1.1299999999999999</v>
      </c>
      <c r="G182" s="49">
        <f>TRUNC(E182*F182,2)</f>
        <v>116.95</v>
      </c>
    </row>
    <row r="183" spans="1:7" s="219" customFormat="1" ht="23.1" customHeight="1">
      <c r="A183" s="179"/>
      <c r="B183" s="239" t="s">
        <v>1605</v>
      </c>
      <c r="C183" s="268" t="s">
        <v>1639</v>
      </c>
      <c r="D183" s="210" t="s">
        <v>186</v>
      </c>
      <c r="E183" s="306">
        <f>E182</f>
        <v>103.5</v>
      </c>
      <c r="F183" s="301">
        <f>0.57*37.7</f>
        <v>21.489000000000001</v>
      </c>
      <c r="G183" s="306">
        <f>TRUNC(E183*F183,2)</f>
        <v>2224.11</v>
      </c>
    </row>
    <row r="184" spans="1:7" s="219" customFormat="1">
      <c r="A184" s="179"/>
      <c r="B184" s="239" t="s">
        <v>1605</v>
      </c>
      <c r="C184" s="268" t="s">
        <v>1633</v>
      </c>
      <c r="D184" s="210" t="s">
        <v>186</v>
      </c>
      <c r="E184" s="305">
        <f>E175+E178+E182</f>
        <v>1344.75</v>
      </c>
      <c r="F184" s="302">
        <v>60.16</v>
      </c>
      <c r="G184" s="301">
        <f t="shared" ref="G184" si="14">TRUNC(E184*F184,2)</f>
        <v>80900.160000000003</v>
      </c>
    </row>
    <row r="185" spans="1:7" s="219" customFormat="1">
      <c r="A185" s="179"/>
      <c r="B185" s="235"/>
      <c r="C185" s="265"/>
      <c r="D185" s="4"/>
      <c r="E185" s="304"/>
      <c r="F185" s="296"/>
      <c r="G185" s="209"/>
    </row>
    <row r="186" spans="1:7" s="219" customFormat="1">
      <c r="A186" s="179"/>
      <c r="B186" s="235"/>
      <c r="C186" s="266" t="s">
        <v>183</v>
      </c>
      <c r="D186" s="4"/>
      <c r="E186" s="304"/>
      <c r="F186" s="296"/>
      <c r="G186" s="209"/>
    </row>
    <row r="187" spans="1:7" s="219" customFormat="1">
      <c r="A187" s="179"/>
      <c r="B187" s="235"/>
      <c r="C187" s="266" t="s">
        <v>184</v>
      </c>
      <c r="D187" s="4"/>
      <c r="E187" s="304"/>
      <c r="F187" s="296"/>
      <c r="G187" s="209"/>
    </row>
    <row r="188" spans="1:7" s="219" customFormat="1">
      <c r="A188" s="179"/>
      <c r="B188" s="235"/>
      <c r="C188" s="266" t="s">
        <v>956</v>
      </c>
      <c r="D188" s="4"/>
      <c r="E188" s="304"/>
      <c r="F188" s="296"/>
      <c r="G188" s="209"/>
    </row>
    <row r="189" spans="1:7" s="219" customFormat="1">
      <c r="A189" s="179"/>
      <c r="B189" s="235" t="s">
        <v>723</v>
      </c>
      <c r="C189" s="267" t="s">
        <v>996</v>
      </c>
      <c r="D189" s="4" t="s">
        <v>186</v>
      </c>
      <c r="E189" s="304">
        <v>177.81145000000001</v>
      </c>
      <c r="F189" s="209">
        <f>VLOOKUP(B189,[2]Plan1!A$1:D$65536,4,FALSE)</f>
        <v>113.93</v>
      </c>
      <c r="G189" s="49">
        <f>TRUNC(E189*F189,2)</f>
        <v>20258.05</v>
      </c>
    </row>
    <row r="190" spans="1:7" s="219" customFormat="1">
      <c r="A190" s="179"/>
      <c r="B190" s="235" t="s">
        <v>721</v>
      </c>
      <c r="C190" s="267" t="s">
        <v>1642</v>
      </c>
      <c r="D190" s="4" t="s">
        <v>186</v>
      </c>
      <c r="E190" s="304">
        <v>35.562290000000004</v>
      </c>
      <c r="F190" s="209">
        <f>VLOOKUP(B190,[2]Plan1!A$1:D$65536,4,FALSE)</f>
        <v>410.08</v>
      </c>
      <c r="G190" s="49">
        <f>TRUNC(E190*F190,2)</f>
        <v>14583.38</v>
      </c>
    </row>
    <row r="191" spans="1:7" s="219" customFormat="1">
      <c r="A191" s="179"/>
      <c r="B191" s="235" t="s">
        <v>720</v>
      </c>
      <c r="C191" s="267" t="s">
        <v>473</v>
      </c>
      <c r="D191" s="4" t="s">
        <v>185</v>
      </c>
      <c r="E191" s="304">
        <v>7112.4580000000005</v>
      </c>
      <c r="F191" s="209">
        <f>VLOOKUP(B191,[2]Plan1!A$1:D$65536,4,FALSE)</f>
        <v>1.2</v>
      </c>
      <c r="G191" s="49">
        <f>TRUNC(E191*F191,2)</f>
        <v>8534.94</v>
      </c>
    </row>
    <row r="192" spans="1:7" s="219" customFormat="1">
      <c r="A192" s="179"/>
      <c r="B192" s="235" t="s">
        <v>721</v>
      </c>
      <c r="C192" s="267" t="s">
        <v>1623</v>
      </c>
      <c r="D192" s="4" t="s">
        <v>186</v>
      </c>
      <c r="E192" s="304">
        <v>284.49832000000004</v>
      </c>
      <c r="F192" s="209">
        <f>VLOOKUP(B192,[2]Plan1!A$1:D$65536,4,FALSE)</f>
        <v>410.08</v>
      </c>
      <c r="G192" s="49">
        <f>TRUNC(E192*F192,2)</f>
        <v>116667.07</v>
      </c>
    </row>
    <row r="193" spans="1:7" s="219" customFormat="1">
      <c r="A193" s="179"/>
      <c r="B193" s="235"/>
      <c r="C193" s="266" t="s">
        <v>957</v>
      </c>
      <c r="D193" s="4"/>
      <c r="E193" s="304"/>
      <c r="F193" s="296"/>
      <c r="G193" s="209"/>
    </row>
    <row r="194" spans="1:7" s="219" customFormat="1">
      <c r="A194" s="179"/>
      <c r="B194" s="235" t="s">
        <v>723</v>
      </c>
      <c r="C194" s="267" t="s">
        <v>996</v>
      </c>
      <c r="D194" s="4" t="s">
        <v>186</v>
      </c>
      <c r="E194" s="304">
        <v>55.986000000000004</v>
      </c>
      <c r="F194" s="209">
        <f>VLOOKUP(B194,[2]Plan1!A$1:D$65536,4,FALSE)</f>
        <v>113.93</v>
      </c>
      <c r="G194" s="209">
        <f>TRUNC(E194*F194,2)</f>
        <v>6378.48</v>
      </c>
    </row>
    <row r="195" spans="1:7" s="219" customFormat="1">
      <c r="A195" s="179"/>
      <c r="B195" s="235" t="s">
        <v>722</v>
      </c>
      <c r="C195" s="267" t="s">
        <v>1643</v>
      </c>
      <c r="D195" s="4" t="s">
        <v>186</v>
      </c>
      <c r="E195" s="304">
        <v>11.1972</v>
      </c>
      <c r="F195" s="209">
        <f>VLOOKUP(B195,[2]Plan1!A$1:D$65536,4,FALSE)</f>
        <v>378.64</v>
      </c>
      <c r="G195" s="209">
        <f>TRUNC(E195*F195,2)</f>
        <v>4239.7</v>
      </c>
    </row>
    <row r="196" spans="1:7" s="219" customFormat="1">
      <c r="A196" s="179"/>
      <c r="B196" s="235" t="s">
        <v>720</v>
      </c>
      <c r="C196" s="267" t="s">
        <v>473</v>
      </c>
      <c r="D196" s="4" t="s">
        <v>185</v>
      </c>
      <c r="E196" s="304">
        <v>1679.5800000000002</v>
      </c>
      <c r="F196" s="209">
        <f>VLOOKUP(B196,[2]Plan1!A$1:D$65536,4,FALSE)</f>
        <v>1.2</v>
      </c>
      <c r="G196" s="209">
        <f>TRUNC(E196*F196,2)</f>
        <v>2015.49</v>
      </c>
    </row>
    <row r="197" spans="1:7" s="219" customFormat="1">
      <c r="A197" s="179"/>
      <c r="B197" s="235" t="s">
        <v>722</v>
      </c>
      <c r="C197" s="267" t="s">
        <v>997</v>
      </c>
      <c r="D197" s="4" t="s">
        <v>186</v>
      </c>
      <c r="E197" s="304">
        <v>27.993000000000002</v>
      </c>
      <c r="F197" s="209">
        <f>VLOOKUP(B197,[2]Plan1!A$1:D$65536,4,FALSE)</f>
        <v>378.64</v>
      </c>
      <c r="G197" s="209">
        <f>TRUNC(E197*F197,2)</f>
        <v>10599.26</v>
      </c>
    </row>
    <row r="198" spans="1:7" s="219" customFormat="1">
      <c r="A198" s="179"/>
      <c r="B198" s="235" t="s">
        <v>721</v>
      </c>
      <c r="C198" s="267" t="s">
        <v>1623</v>
      </c>
      <c r="D198" s="4" t="s">
        <v>186</v>
      </c>
      <c r="E198" s="304">
        <v>44.788800000000002</v>
      </c>
      <c r="F198" s="209">
        <f>VLOOKUP(B198,[2]Plan1!A$1:D$65536,4,FALSE)</f>
        <v>410.08</v>
      </c>
      <c r="G198" s="209">
        <f>TRUNC(E198*F198,2)</f>
        <v>18366.990000000002</v>
      </c>
    </row>
    <row r="199" spans="1:7" s="219" customFormat="1">
      <c r="A199" s="179"/>
      <c r="B199" s="235"/>
      <c r="C199" s="267"/>
      <c r="D199" s="4"/>
      <c r="E199" s="307"/>
      <c r="F199" s="209"/>
      <c r="G199" s="209"/>
    </row>
    <row r="200" spans="1:7" s="219" customFormat="1">
      <c r="A200" s="179"/>
      <c r="B200" s="235"/>
      <c r="C200" s="266" t="s">
        <v>187</v>
      </c>
      <c r="D200" s="4"/>
      <c r="E200" s="304"/>
      <c r="F200" s="209"/>
      <c r="G200" s="209"/>
    </row>
    <row r="201" spans="1:7" s="219" customFormat="1">
      <c r="A201" s="179"/>
      <c r="B201" s="235"/>
      <c r="C201" s="266" t="s">
        <v>956</v>
      </c>
      <c r="D201" s="4"/>
      <c r="E201" s="304"/>
      <c r="F201" s="296"/>
      <c r="G201" s="209"/>
    </row>
    <row r="202" spans="1:7" s="219" customFormat="1">
      <c r="A202" s="179"/>
      <c r="B202" s="235" t="s">
        <v>723</v>
      </c>
      <c r="C202" s="267" t="s">
        <v>996</v>
      </c>
      <c r="D202" s="4" t="s">
        <v>186</v>
      </c>
      <c r="E202" s="304">
        <v>242.42325</v>
      </c>
      <c r="F202" s="209">
        <f>VLOOKUP(B202,[2]Plan1!A$1:D$65536,4,FALSE)</f>
        <v>113.93</v>
      </c>
      <c r="G202" s="49">
        <f>TRUNC(E202*F202,2)</f>
        <v>27619.279999999999</v>
      </c>
    </row>
    <row r="203" spans="1:7" s="219" customFormat="1">
      <c r="A203" s="179"/>
      <c r="B203" s="235" t="s">
        <v>721</v>
      </c>
      <c r="C203" s="267" t="s">
        <v>1642</v>
      </c>
      <c r="D203" s="4" t="s">
        <v>186</v>
      </c>
      <c r="E203" s="304">
        <v>96.969300000000004</v>
      </c>
      <c r="F203" s="209">
        <f>VLOOKUP(B203,[2]Plan1!A$1:D$65536,4,FALSE)</f>
        <v>410.08</v>
      </c>
      <c r="G203" s="49">
        <f>TRUNC(E203*F203,2)</f>
        <v>39765.17</v>
      </c>
    </row>
    <row r="204" spans="1:7" s="219" customFormat="1">
      <c r="A204" s="179"/>
      <c r="B204" s="235" t="s">
        <v>720</v>
      </c>
      <c r="C204" s="267" t="s">
        <v>473</v>
      </c>
      <c r="D204" s="4" t="s">
        <v>185</v>
      </c>
      <c r="E204" s="304">
        <v>9696.93</v>
      </c>
      <c r="F204" s="209">
        <f>VLOOKUP(B204,[2]Plan1!A$1:D$65536,4,FALSE)</f>
        <v>1.2</v>
      </c>
      <c r="G204" s="49">
        <f>TRUNC(E204*F204,2)</f>
        <v>11636.31</v>
      </c>
    </row>
    <row r="205" spans="1:7" s="219" customFormat="1">
      <c r="A205" s="179"/>
      <c r="B205" s="235" t="s">
        <v>721</v>
      </c>
      <c r="C205" s="267" t="s">
        <v>1642</v>
      </c>
      <c r="D205" s="4" t="s">
        <v>186</v>
      </c>
      <c r="E205" s="304">
        <v>387.87720000000002</v>
      </c>
      <c r="F205" s="209">
        <v>410.08</v>
      </c>
      <c r="G205" s="49">
        <f>TRUNC(E205*F205,2)</f>
        <v>159060.68</v>
      </c>
    </row>
    <row r="206" spans="1:7" s="219" customFormat="1">
      <c r="A206" s="179"/>
      <c r="B206" s="235"/>
      <c r="C206" s="267"/>
      <c r="D206" s="4"/>
      <c r="E206" s="304"/>
      <c r="F206" s="209"/>
      <c r="G206" s="209"/>
    </row>
    <row r="207" spans="1:7" s="219" customFormat="1">
      <c r="A207" s="179"/>
      <c r="B207" s="235"/>
      <c r="C207" s="266" t="s">
        <v>998</v>
      </c>
      <c r="D207" s="5"/>
      <c r="E207" s="149"/>
      <c r="F207" s="49"/>
      <c r="G207" s="49"/>
    </row>
    <row r="208" spans="1:7" s="219" customFormat="1">
      <c r="A208" s="179"/>
      <c r="B208" s="235"/>
      <c r="C208" s="266" t="s">
        <v>999</v>
      </c>
      <c r="D208" s="5"/>
      <c r="E208" s="149"/>
      <c r="F208" s="49"/>
      <c r="G208" s="49"/>
    </row>
    <row r="209" spans="1:10" s="219" customFormat="1">
      <c r="A209" s="179"/>
      <c r="B209" s="235" t="s">
        <v>1600</v>
      </c>
      <c r="C209" s="267" t="s">
        <v>1601</v>
      </c>
      <c r="D209" s="218" t="s">
        <v>185</v>
      </c>
      <c r="E209" s="149">
        <v>280</v>
      </c>
      <c r="F209" s="209">
        <f>VLOOKUP(B209,[2]Plan1!A$1:D$65536,4,FALSE)</f>
        <v>7.57</v>
      </c>
      <c r="G209" s="49">
        <f t="shared" ref="G209:G217" si="15">TRUNC(E209*F209,2)</f>
        <v>2119.6</v>
      </c>
    </row>
    <row r="210" spans="1:10" s="219" customFormat="1">
      <c r="A210" s="179"/>
      <c r="B210" s="235" t="s">
        <v>719</v>
      </c>
      <c r="C210" s="267" t="s">
        <v>1602</v>
      </c>
      <c r="D210" s="4" t="s">
        <v>186</v>
      </c>
      <c r="E210" s="149">
        <v>70</v>
      </c>
      <c r="F210" s="209">
        <f>VLOOKUP(B210,[2]Plan1!A$1:D$65536,4,FALSE)</f>
        <v>21.68</v>
      </c>
      <c r="G210" s="49">
        <f t="shared" si="15"/>
        <v>1517.6</v>
      </c>
    </row>
    <row r="211" spans="1:10" s="219" customFormat="1">
      <c r="A211" s="179"/>
      <c r="B211" s="239" t="s">
        <v>1605</v>
      </c>
      <c r="C211" s="268" t="s">
        <v>1631</v>
      </c>
      <c r="D211" s="210" t="s">
        <v>186</v>
      </c>
      <c r="E211" s="305">
        <f>E210*1.5</f>
        <v>105</v>
      </c>
      <c r="F211" s="301">
        <f>0.57*23.9</f>
        <v>13.622999999999998</v>
      </c>
      <c r="G211" s="306">
        <f t="shared" si="15"/>
        <v>1430.41</v>
      </c>
    </row>
    <row r="212" spans="1:10" s="219" customFormat="1">
      <c r="A212" s="179"/>
      <c r="B212" s="235" t="s">
        <v>728</v>
      </c>
      <c r="C212" s="267" t="s">
        <v>1006</v>
      </c>
      <c r="D212" s="4" t="s">
        <v>186</v>
      </c>
      <c r="E212" s="304">
        <v>42</v>
      </c>
      <c r="F212" s="209">
        <f>VLOOKUP(B212,[2]Plan1!A$1:D$65536,4,FALSE)</f>
        <v>206.07</v>
      </c>
      <c r="G212" s="49">
        <f t="shared" si="15"/>
        <v>8654.94</v>
      </c>
    </row>
    <row r="213" spans="1:10" s="219" customFormat="1">
      <c r="A213" s="179"/>
      <c r="B213" s="235" t="s">
        <v>720</v>
      </c>
      <c r="C213" s="267" t="s">
        <v>1007</v>
      </c>
      <c r="D213" s="4" t="s">
        <v>185</v>
      </c>
      <c r="E213" s="304">
        <v>280</v>
      </c>
      <c r="F213" s="209">
        <f>VLOOKUP(B213,[2]Plan1!A$1:D$65536,4,FALSE)</f>
        <v>1.2</v>
      </c>
      <c r="G213" s="49">
        <f t="shared" si="15"/>
        <v>336</v>
      </c>
    </row>
    <row r="214" spans="1:10" s="219" customFormat="1">
      <c r="A214" s="179"/>
      <c r="B214" s="235" t="s">
        <v>720</v>
      </c>
      <c r="C214" s="267" t="s">
        <v>1008</v>
      </c>
      <c r="D214" s="4" t="s">
        <v>185</v>
      </c>
      <c r="E214" s="304">
        <v>1120</v>
      </c>
      <c r="F214" s="209">
        <f>VLOOKUP(B214,[2]Plan1!A$1:D$65536,4,FALSE)</f>
        <v>1.2</v>
      </c>
      <c r="G214" s="49">
        <f t="shared" si="15"/>
        <v>1344</v>
      </c>
    </row>
    <row r="215" spans="1:10" s="219" customFormat="1">
      <c r="A215" s="179"/>
      <c r="B215" s="238" t="s">
        <v>1603</v>
      </c>
      <c r="C215" s="261" t="s">
        <v>1604</v>
      </c>
      <c r="D215" s="218" t="s">
        <v>185</v>
      </c>
      <c r="E215" s="304">
        <v>280</v>
      </c>
      <c r="F215" s="209">
        <f>VLOOKUP(B215,[2]Plan1!A$1:D$65536,4,FALSE)</f>
        <v>8.64</v>
      </c>
      <c r="G215" s="49">
        <f t="shared" si="15"/>
        <v>2419.1999999999998</v>
      </c>
    </row>
    <row r="216" spans="1:10" s="219" customFormat="1">
      <c r="A216" s="179"/>
      <c r="B216" s="235" t="s">
        <v>722</v>
      </c>
      <c r="C216" s="267" t="s">
        <v>960</v>
      </c>
      <c r="D216" s="4" t="s">
        <v>186</v>
      </c>
      <c r="E216" s="173">
        <v>14</v>
      </c>
      <c r="F216" s="209">
        <f>VLOOKUP(B216,[2]Plan1!A$1:D$65536,4,FALSE)</f>
        <v>378.64</v>
      </c>
      <c r="G216" s="49">
        <f t="shared" si="15"/>
        <v>5300.96</v>
      </c>
      <c r="J216" s="222"/>
    </row>
    <row r="217" spans="1:10" s="219" customFormat="1">
      <c r="A217" s="179"/>
      <c r="B217" s="235" t="s">
        <v>721</v>
      </c>
      <c r="C217" s="267" t="s">
        <v>958</v>
      </c>
      <c r="D217" s="4" t="s">
        <v>186</v>
      </c>
      <c r="E217" s="173">
        <v>22.400000000000002</v>
      </c>
      <c r="F217" s="209">
        <f>VLOOKUP(B217,[2]Plan1!A$1:D$65536,4,FALSE)</f>
        <v>410.08</v>
      </c>
      <c r="G217" s="49">
        <f t="shared" si="15"/>
        <v>9185.7900000000009</v>
      </c>
      <c r="J217" s="222"/>
    </row>
    <row r="218" spans="1:10" s="219" customFormat="1">
      <c r="A218" s="179"/>
      <c r="B218" s="235"/>
      <c r="C218" s="266" t="s">
        <v>999</v>
      </c>
      <c r="D218" s="5"/>
      <c r="E218" s="149"/>
      <c r="F218" s="49"/>
      <c r="G218" s="49"/>
    </row>
    <row r="219" spans="1:10" s="219" customFormat="1">
      <c r="A219" s="179"/>
      <c r="B219" s="235" t="s">
        <v>1600</v>
      </c>
      <c r="C219" s="267" t="s">
        <v>1601</v>
      </c>
      <c r="D219" s="218" t="s">
        <v>185</v>
      </c>
      <c r="E219" s="149">
        <v>840</v>
      </c>
      <c r="F219" s="209">
        <f>VLOOKUP(B219,[2]Plan1!A$1:D$65536,4,FALSE)</f>
        <v>7.57</v>
      </c>
      <c r="G219" s="49">
        <f t="shared" ref="G219:G227" si="16">TRUNC(E219*F219,2)</f>
        <v>6358.8</v>
      </c>
    </row>
    <row r="220" spans="1:10" s="219" customFormat="1">
      <c r="A220" s="179"/>
      <c r="B220" s="235" t="s">
        <v>719</v>
      </c>
      <c r="C220" s="267" t="s">
        <v>1602</v>
      </c>
      <c r="D220" s="4" t="s">
        <v>186</v>
      </c>
      <c r="E220" s="149">
        <v>210</v>
      </c>
      <c r="F220" s="209">
        <f>VLOOKUP(B220,[2]Plan1!A$1:D$65536,4,FALSE)</f>
        <v>21.68</v>
      </c>
      <c r="G220" s="49">
        <f t="shared" si="16"/>
        <v>4552.8</v>
      </c>
    </row>
    <row r="221" spans="1:10" s="219" customFormat="1">
      <c r="A221" s="179"/>
      <c r="B221" s="239" t="s">
        <v>1605</v>
      </c>
      <c r="C221" s="268" t="s">
        <v>1631</v>
      </c>
      <c r="D221" s="210" t="s">
        <v>186</v>
      </c>
      <c r="E221" s="305">
        <f>E220*1.5</f>
        <v>315</v>
      </c>
      <c r="F221" s="301">
        <f>0.57*23.9</f>
        <v>13.622999999999998</v>
      </c>
      <c r="G221" s="306">
        <f t="shared" si="16"/>
        <v>4291.24</v>
      </c>
    </row>
    <row r="222" spans="1:10" s="219" customFormat="1">
      <c r="A222" s="179"/>
      <c r="B222" s="235" t="s">
        <v>728</v>
      </c>
      <c r="C222" s="267" t="s">
        <v>1006</v>
      </c>
      <c r="D222" s="4" t="s">
        <v>186</v>
      </c>
      <c r="E222" s="304">
        <v>126</v>
      </c>
      <c r="F222" s="209">
        <f>VLOOKUP(B222,[2]Plan1!A$1:D$65536,4,FALSE)</f>
        <v>206.07</v>
      </c>
      <c r="G222" s="49">
        <f t="shared" si="16"/>
        <v>25964.82</v>
      </c>
    </row>
    <row r="223" spans="1:10" s="219" customFormat="1">
      <c r="A223" s="179"/>
      <c r="B223" s="235" t="s">
        <v>720</v>
      </c>
      <c r="C223" s="267" t="s">
        <v>1007</v>
      </c>
      <c r="D223" s="4" t="s">
        <v>185</v>
      </c>
      <c r="E223" s="304">
        <v>840</v>
      </c>
      <c r="F223" s="209">
        <f>VLOOKUP(B223,[2]Plan1!A$1:D$65536,4,FALSE)</f>
        <v>1.2</v>
      </c>
      <c r="G223" s="49">
        <f t="shared" si="16"/>
        <v>1008</v>
      </c>
    </row>
    <row r="224" spans="1:10" s="219" customFormat="1">
      <c r="A224" s="179"/>
      <c r="B224" s="235" t="s">
        <v>720</v>
      </c>
      <c r="C224" s="267" t="s">
        <v>1008</v>
      </c>
      <c r="D224" s="4" t="s">
        <v>185</v>
      </c>
      <c r="E224" s="304">
        <v>3360</v>
      </c>
      <c r="F224" s="209">
        <f>VLOOKUP(B224,[2]Plan1!A$1:D$65536,4,FALSE)</f>
        <v>1.2</v>
      </c>
      <c r="G224" s="49">
        <f t="shared" si="16"/>
        <v>4032</v>
      </c>
    </row>
    <row r="225" spans="1:10" s="219" customFormat="1">
      <c r="A225" s="179"/>
      <c r="B225" s="238" t="s">
        <v>1603</v>
      </c>
      <c r="C225" s="261" t="s">
        <v>1604</v>
      </c>
      <c r="D225" s="218" t="s">
        <v>185</v>
      </c>
      <c r="E225" s="304">
        <v>840</v>
      </c>
      <c r="F225" s="209">
        <f>VLOOKUP(B225,[2]Plan1!A$1:D$65536,4,FALSE)</f>
        <v>8.64</v>
      </c>
      <c r="G225" s="49">
        <f t="shared" si="16"/>
        <v>7257.6</v>
      </c>
    </row>
    <row r="226" spans="1:10" s="219" customFormat="1">
      <c r="A226" s="179"/>
      <c r="B226" s="235" t="s">
        <v>722</v>
      </c>
      <c r="C226" s="267" t="s">
        <v>960</v>
      </c>
      <c r="D226" s="4" t="s">
        <v>186</v>
      </c>
      <c r="E226" s="173">
        <v>42</v>
      </c>
      <c r="F226" s="209">
        <f>VLOOKUP(B226,[2]Plan1!A$1:D$65536,4,FALSE)</f>
        <v>378.64</v>
      </c>
      <c r="G226" s="49">
        <f t="shared" si="16"/>
        <v>15902.88</v>
      </c>
      <c r="J226" s="222"/>
    </row>
    <row r="227" spans="1:10" s="219" customFormat="1">
      <c r="A227" s="179"/>
      <c r="B227" s="235" t="s">
        <v>721</v>
      </c>
      <c r="C227" s="267" t="s">
        <v>958</v>
      </c>
      <c r="D227" s="4" t="s">
        <v>186</v>
      </c>
      <c r="E227" s="173">
        <v>67.2</v>
      </c>
      <c r="F227" s="209">
        <f>VLOOKUP(B227,[2]Plan1!A$1:D$65536,4,FALSE)</f>
        <v>410.08</v>
      </c>
      <c r="G227" s="49">
        <f t="shared" si="16"/>
        <v>27557.37</v>
      </c>
      <c r="J227" s="222"/>
    </row>
    <row r="228" spans="1:10" s="219" customFormat="1">
      <c r="A228" s="179"/>
      <c r="B228" s="235"/>
      <c r="C228" s="267"/>
      <c r="D228" s="4"/>
      <c r="E228" s="304"/>
      <c r="F228" s="209"/>
      <c r="G228" s="209"/>
    </row>
    <row r="229" spans="1:10" s="219" customFormat="1">
      <c r="A229" s="179"/>
      <c r="B229" s="235"/>
      <c r="C229" s="266" t="s">
        <v>959</v>
      </c>
      <c r="D229" s="5"/>
      <c r="E229" s="149"/>
      <c r="F229" s="209"/>
      <c r="G229" s="209"/>
    </row>
    <row r="230" spans="1:10" s="219" customFormat="1">
      <c r="A230" s="179"/>
      <c r="B230" s="235"/>
      <c r="C230" s="266" t="s">
        <v>999</v>
      </c>
      <c r="D230" s="5"/>
      <c r="E230" s="149"/>
      <c r="F230" s="209"/>
      <c r="G230" s="209"/>
    </row>
    <row r="231" spans="1:10" s="219" customFormat="1">
      <c r="A231" s="179"/>
      <c r="B231" s="235" t="s">
        <v>724</v>
      </c>
      <c r="C231" s="267" t="s">
        <v>390</v>
      </c>
      <c r="D231" s="4" t="s">
        <v>185</v>
      </c>
      <c r="E231" s="173">
        <v>16930.482</v>
      </c>
      <c r="F231" s="209">
        <f>VLOOKUP(B231,[2]Plan1!A$1:D$65536,4,FALSE)</f>
        <v>0.76</v>
      </c>
      <c r="G231" s="49">
        <f t="shared" ref="G231:G241" si="17">TRUNC(E231*F231,2)</f>
        <v>12867.16</v>
      </c>
      <c r="J231" s="222"/>
    </row>
    <row r="232" spans="1:10" s="219" customFormat="1">
      <c r="A232" s="179"/>
      <c r="B232" s="235" t="s">
        <v>725</v>
      </c>
      <c r="C232" s="267" t="s">
        <v>1000</v>
      </c>
      <c r="D232" s="4" t="s">
        <v>186</v>
      </c>
      <c r="E232" s="173">
        <v>5925.6686999999993</v>
      </c>
      <c r="F232" s="209">
        <f>VLOOKUP(B232,[2]Plan1!A$1:D$65536,4,FALSE)</f>
        <v>67.83</v>
      </c>
      <c r="G232" s="49">
        <f t="shared" si="17"/>
        <v>401938.1</v>
      </c>
      <c r="J232" s="222"/>
    </row>
    <row r="233" spans="1:10" s="219" customFormat="1" ht="22.5">
      <c r="A233" s="179"/>
      <c r="B233" s="239" t="s">
        <v>1605</v>
      </c>
      <c r="C233" s="269" t="s">
        <v>1001</v>
      </c>
      <c r="D233" s="210" t="s">
        <v>186</v>
      </c>
      <c r="E233" s="232">
        <v>2539.5722999999998</v>
      </c>
      <c r="F233" s="301">
        <v>63.84</v>
      </c>
      <c r="G233" s="306">
        <f t="shared" si="17"/>
        <v>162126.29</v>
      </c>
      <c r="H233" s="223"/>
      <c r="J233" s="222"/>
    </row>
    <row r="234" spans="1:10" s="219" customFormat="1">
      <c r="A234" s="179"/>
      <c r="B234" s="235" t="s">
        <v>726</v>
      </c>
      <c r="C234" s="267" t="s">
        <v>1002</v>
      </c>
      <c r="D234" s="4" t="s">
        <v>186</v>
      </c>
      <c r="E234" s="173">
        <v>5925.6686999999993</v>
      </c>
      <c r="F234" s="209">
        <f>VLOOKUP(B234,[2]Plan1!A$1:D$65536,4,FALSE)</f>
        <v>60.07</v>
      </c>
      <c r="G234" s="49">
        <f t="shared" si="17"/>
        <v>355954.91</v>
      </c>
      <c r="J234" s="222"/>
    </row>
    <row r="235" spans="1:10" s="219" customFormat="1" ht="22.5">
      <c r="A235" s="179"/>
      <c r="B235" s="239" t="s">
        <v>1605</v>
      </c>
      <c r="C235" s="269" t="s">
        <v>1003</v>
      </c>
      <c r="D235" s="210" t="s">
        <v>186</v>
      </c>
      <c r="E235" s="232">
        <v>2539.5722999999998</v>
      </c>
      <c r="F235" s="301">
        <v>47.96</v>
      </c>
      <c r="G235" s="306">
        <f t="shared" si="17"/>
        <v>121797.88</v>
      </c>
      <c r="H235" s="223"/>
      <c r="I235" s="223"/>
      <c r="J235" s="222"/>
    </row>
    <row r="236" spans="1:10" s="219" customFormat="1">
      <c r="A236" s="179"/>
      <c r="B236" s="235" t="s">
        <v>727</v>
      </c>
      <c r="C236" s="267" t="s">
        <v>1004</v>
      </c>
      <c r="D236" s="4" t="s">
        <v>186</v>
      </c>
      <c r="E236" s="173">
        <v>4571.2301400000006</v>
      </c>
      <c r="F236" s="209">
        <f>VLOOKUP(B236,[2]Plan1!A$1:D$65536,4,FALSE)</f>
        <v>80.040000000000006</v>
      </c>
      <c r="G236" s="49">
        <f t="shared" si="17"/>
        <v>365881.26</v>
      </c>
      <c r="J236" s="222"/>
    </row>
    <row r="237" spans="1:10" s="219" customFormat="1" ht="11.25" customHeight="1">
      <c r="A237" s="179"/>
      <c r="B237" s="239" t="s">
        <v>1605</v>
      </c>
      <c r="C237" s="269" t="s">
        <v>1005</v>
      </c>
      <c r="D237" s="210" t="s">
        <v>186</v>
      </c>
      <c r="E237" s="232">
        <v>507.91446000000008</v>
      </c>
      <c r="F237" s="301">
        <v>67.55</v>
      </c>
      <c r="G237" s="306">
        <f t="shared" si="17"/>
        <v>34309.620000000003</v>
      </c>
      <c r="J237" s="222"/>
    </row>
    <row r="238" spans="1:10" s="219" customFormat="1">
      <c r="A238" s="179"/>
      <c r="B238" s="235" t="s">
        <v>729</v>
      </c>
      <c r="C238" s="267" t="s">
        <v>474</v>
      </c>
      <c r="D238" s="4" t="s">
        <v>185</v>
      </c>
      <c r="E238" s="173">
        <v>16930.482</v>
      </c>
      <c r="F238" s="209">
        <f>VLOOKUP(B238,[2]Plan1!A$1:D$65536,4,FALSE)</f>
        <v>3.08</v>
      </c>
      <c r="G238" s="49">
        <f t="shared" si="17"/>
        <v>52145.88</v>
      </c>
      <c r="J238" s="222"/>
    </row>
    <row r="239" spans="1:10" s="219" customFormat="1">
      <c r="A239" s="179"/>
      <c r="B239" s="235" t="s">
        <v>728</v>
      </c>
      <c r="C239" s="267" t="s">
        <v>1006</v>
      </c>
      <c r="D239" s="4" t="s">
        <v>186</v>
      </c>
      <c r="E239" s="173">
        <v>2539.5723000000003</v>
      </c>
      <c r="F239" s="209">
        <f>VLOOKUP(B239,[2]Plan1!A$1:D$65536,4,FALSE)</f>
        <v>206.07</v>
      </c>
      <c r="G239" s="49">
        <f t="shared" si="17"/>
        <v>523329.66</v>
      </c>
      <c r="J239" s="222"/>
    </row>
    <row r="240" spans="1:10" s="219" customFormat="1">
      <c r="A240" s="179"/>
      <c r="B240" s="235" t="s">
        <v>720</v>
      </c>
      <c r="C240" s="267" t="s">
        <v>1007</v>
      </c>
      <c r="D240" s="4" t="s">
        <v>185</v>
      </c>
      <c r="E240" s="173">
        <v>16930.482</v>
      </c>
      <c r="F240" s="209">
        <f>VLOOKUP(B240,[2]Plan1!A$1:D$65536,4,FALSE)</f>
        <v>1.2</v>
      </c>
      <c r="G240" s="49">
        <f t="shared" si="17"/>
        <v>20316.57</v>
      </c>
      <c r="J240" s="222"/>
    </row>
    <row r="241" spans="1:10" s="219" customFormat="1">
      <c r="A241" s="179"/>
      <c r="B241" s="235" t="s">
        <v>720</v>
      </c>
      <c r="C241" s="267" t="s">
        <v>1008</v>
      </c>
      <c r="D241" s="4" t="s">
        <v>185</v>
      </c>
      <c r="E241" s="173">
        <v>62263.547999999995</v>
      </c>
      <c r="F241" s="209">
        <f>VLOOKUP(B241,[2]Plan1!A$1:D$65536,4,FALSE)</f>
        <v>1.2</v>
      </c>
      <c r="G241" s="49">
        <f t="shared" si="17"/>
        <v>74716.25</v>
      </c>
      <c r="J241" s="222"/>
    </row>
    <row r="242" spans="1:10" s="219" customFormat="1">
      <c r="A242" s="179"/>
      <c r="B242" s="238" t="s">
        <v>1603</v>
      </c>
      <c r="C242" s="261" t="s">
        <v>1604</v>
      </c>
      <c r="D242" s="218" t="s">
        <v>185</v>
      </c>
      <c r="E242" s="304">
        <v>15565.886999999999</v>
      </c>
      <c r="F242" s="209">
        <f>VLOOKUP(B242,[2]Plan1!A$1:D$65536,4,FALSE)</f>
        <v>8.64</v>
      </c>
      <c r="G242" s="49">
        <f>TRUNC(E242*F242,2)</f>
        <v>134489.26</v>
      </c>
      <c r="J242" s="222"/>
    </row>
    <row r="243" spans="1:10" s="219" customFormat="1">
      <c r="A243" s="179"/>
      <c r="B243" s="235" t="s">
        <v>722</v>
      </c>
      <c r="C243" s="267" t="s">
        <v>1644</v>
      </c>
      <c r="D243" s="4" t="s">
        <v>186</v>
      </c>
      <c r="E243" s="173">
        <v>778.29435000000012</v>
      </c>
      <c r="F243" s="209">
        <f>VLOOKUP(B243,[2]Plan1!A$1:D$65536,4,FALSE)</f>
        <v>378.64</v>
      </c>
      <c r="G243" s="49">
        <f>TRUNC(E243*F243,2)</f>
        <v>294693.37</v>
      </c>
      <c r="J243" s="222"/>
    </row>
    <row r="244" spans="1:10" s="219" customFormat="1">
      <c r="A244" s="179"/>
      <c r="B244" s="235" t="s">
        <v>721</v>
      </c>
      <c r="C244" s="267" t="s">
        <v>188</v>
      </c>
      <c r="D244" s="4" t="s">
        <v>186</v>
      </c>
      <c r="E244" s="173">
        <v>1258.7709600000001</v>
      </c>
      <c r="F244" s="209">
        <f>VLOOKUP(B244,[2]Plan1!A$1:D$65536,4,FALSE)</f>
        <v>410.08</v>
      </c>
      <c r="G244" s="49">
        <f>TRUNC(E244*F244,2)</f>
        <v>516196.79</v>
      </c>
      <c r="J244" s="222"/>
    </row>
    <row r="245" spans="1:10" s="219" customFormat="1">
      <c r="A245" s="179"/>
      <c r="B245" s="239" t="s">
        <v>1605</v>
      </c>
      <c r="C245" s="269" t="s">
        <v>1637</v>
      </c>
      <c r="D245" s="210" t="s">
        <v>189</v>
      </c>
      <c r="E245" s="232">
        <v>3800</v>
      </c>
      <c r="F245" s="301">
        <v>29.9</v>
      </c>
      <c r="G245" s="306">
        <f>TRUNC(E245*F245,2)</f>
        <v>113620</v>
      </c>
      <c r="J245" s="222"/>
    </row>
    <row r="246" spans="1:10" s="219" customFormat="1">
      <c r="A246" s="179"/>
      <c r="B246" s="235"/>
      <c r="C246" s="270"/>
      <c r="D246" s="4"/>
      <c r="E246" s="304"/>
      <c r="F246" s="49"/>
      <c r="G246" s="209"/>
    </row>
    <row r="247" spans="1:10" s="219" customFormat="1">
      <c r="A247" s="179"/>
      <c r="B247" s="235"/>
      <c r="C247" s="266" t="s">
        <v>1009</v>
      </c>
      <c r="D247" s="6"/>
      <c r="E247" s="307"/>
      <c r="F247" s="49"/>
      <c r="G247" s="209"/>
    </row>
    <row r="248" spans="1:10" s="219" customFormat="1">
      <c r="A248" s="179"/>
      <c r="B248" s="235" t="s">
        <v>724</v>
      </c>
      <c r="C248" s="267" t="s">
        <v>390</v>
      </c>
      <c r="D248" s="4" t="s">
        <v>185</v>
      </c>
      <c r="E248" s="173">
        <v>16534.056499999999</v>
      </c>
      <c r="F248" s="209">
        <f>VLOOKUP(B248,[2]Plan1!A$1:D$65536,4,FALSE)</f>
        <v>0.76</v>
      </c>
      <c r="G248" s="49">
        <f t="shared" ref="G248:G258" si="18">TRUNC(E248*F248,2)</f>
        <v>12565.88</v>
      </c>
      <c r="J248" s="222"/>
    </row>
    <row r="249" spans="1:10" s="219" customFormat="1">
      <c r="A249" s="179"/>
      <c r="B249" s="235" t="s">
        <v>725</v>
      </c>
      <c r="C249" s="267" t="s">
        <v>1000</v>
      </c>
      <c r="D249" s="4" t="s">
        <v>186</v>
      </c>
      <c r="E249" s="173">
        <v>5786.9197749999994</v>
      </c>
      <c r="F249" s="209">
        <f>VLOOKUP(B249,[2]Plan1!A$1:D$65536,4,FALSE)</f>
        <v>67.83</v>
      </c>
      <c r="G249" s="49">
        <f t="shared" si="18"/>
        <v>392526.76</v>
      </c>
      <c r="J249" s="222"/>
    </row>
    <row r="250" spans="1:10" s="219" customFormat="1" ht="22.5">
      <c r="A250" s="179"/>
      <c r="B250" s="239" t="s">
        <v>1605</v>
      </c>
      <c r="C250" s="269" t="s">
        <v>1001</v>
      </c>
      <c r="D250" s="210" t="s">
        <v>186</v>
      </c>
      <c r="E250" s="232">
        <v>2480.1084749999995</v>
      </c>
      <c r="F250" s="301">
        <v>63.84</v>
      </c>
      <c r="G250" s="306">
        <f t="shared" si="18"/>
        <v>158330.12</v>
      </c>
      <c r="I250" s="223"/>
      <c r="J250" s="222"/>
    </row>
    <row r="251" spans="1:10" s="219" customFormat="1">
      <c r="A251" s="179"/>
      <c r="B251" s="235" t="s">
        <v>726</v>
      </c>
      <c r="C251" s="267" t="s">
        <v>1002</v>
      </c>
      <c r="D251" s="4" t="s">
        <v>186</v>
      </c>
      <c r="E251" s="173">
        <v>5786.9197749999994</v>
      </c>
      <c r="F251" s="209">
        <f>VLOOKUP(B251,[2]Plan1!A$1:D$65536,4,FALSE)</f>
        <v>60.07</v>
      </c>
      <c r="G251" s="49">
        <f t="shared" si="18"/>
        <v>347620.27</v>
      </c>
      <c r="J251" s="222"/>
    </row>
    <row r="252" spans="1:10" s="219" customFormat="1" ht="22.5">
      <c r="A252" s="179"/>
      <c r="B252" s="239" t="s">
        <v>1605</v>
      </c>
      <c r="C252" s="269" t="s">
        <v>1003</v>
      </c>
      <c r="D252" s="210" t="s">
        <v>186</v>
      </c>
      <c r="E252" s="232">
        <v>2480.1084749999995</v>
      </c>
      <c r="F252" s="301">
        <v>47.96</v>
      </c>
      <c r="G252" s="306">
        <f t="shared" si="18"/>
        <v>118946</v>
      </c>
      <c r="J252" s="222"/>
    </row>
    <row r="253" spans="1:10" s="219" customFormat="1">
      <c r="A253" s="179"/>
      <c r="B253" s="235" t="s">
        <v>727</v>
      </c>
      <c r="C253" s="267" t="s">
        <v>1004</v>
      </c>
      <c r="D253" s="4" t="s">
        <v>186</v>
      </c>
      <c r="E253" s="173">
        <v>4464.1952550000005</v>
      </c>
      <c r="F253" s="209">
        <f>VLOOKUP(B253,[2]Plan1!A$1:D$65536,4,FALSE)</f>
        <v>80.040000000000006</v>
      </c>
      <c r="G253" s="49">
        <f t="shared" si="18"/>
        <v>357314.18</v>
      </c>
      <c r="J253" s="222"/>
    </row>
    <row r="254" spans="1:10" s="219" customFormat="1" ht="22.5">
      <c r="A254" s="179"/>
      <c r="B254" s="239" t="s">
        <v>1605</v>
      </c>
      <c r="C254" s="269" t="s">
        <v>1005</v>
      </c>
      <c r="D254" s="210" t="s">
        <v>186</v>
      </c>
      <c r="E254" s="232">
        <v>496.02169500000002</v>
      </c>
      <c r="F254" s="301">
        <v>67.55</v>
      </c>
      <c r="G254" s="306">
        <f t="shared" si="18"/>
        <v>33506.26</v>
      </c>
      <c r="J254" s="222"/>
    </row>
    <row r="255" spans="1:10" s="219" customFormat="1">
      <c r="A255" s="179"/>
      <c r="B255" s="235" t="s">
        <v>729</v>
      </c>
      <c r="C255" s="267" t="s">
        <v>474</v>
      </c>
      <c r="D255" s="4" t="s">
        <v>185</v>
      </c>
      <c r="E255" s="173">
        <v>16534.056499999999</v>
      </c>
      <c r="F255" s="209">
        <f>VLOOKUP(B255,[2]Plan1!A$1:D$65536,4,FALSE)</f>
        <v>3.08</v>
      </c>
      <c r="G255" s="49">
        <f t="shared" si="18"/>
        <v>50924.89</v>
      </c>
      <c r="J255" s="222"/>
    </row>
    <row r="256" spans="1:10" s="219" customFormat="1">
      <c r="A256" s="179"/>
      <c r="B256" s="235" t="s">
        <v>728</v>
      </c>
      <c r="C256" s="267" t="s">
        <v>1006</v>
      </c>
      <c r="D256" s="4" t="s">
        <v>186</v>
      </c>
      <c r="E256" s="173">
        <v>2480.108475</v>
      </c>
      <c r="F256" s="209">
        <f>VLOOKUP(B256,[2]Plan1!A$1:D$65536,4,FALSE)</f>
        <v>206.07</v>
      </c>
      <c r="G256" s="49">
        <f t="shared" si="18"/>
        <v>511075.95</v>
      </c>
      <c r="J256" s="222"/>
    </row>
    <row r="257" spans="1:10" s="219" customFormat="1">
      <c r="A257" s="179"/>
      <c r="B257" s="235" t="s">
        <v>720</v>
      </c>
      <c r="C257" s="267" t="s">
        <v>1007</v>
      </c>
      <c r="D257" s="4" t="s">
        <v>185</v>
      </c>
      <c r="E257" s="173">
        <v>16534.056499999999</v>
      </c>
      <c r="F257" s="209">
        <f>VLOOKUP(B257,[2]Plan1!A$1:D$65536,4,FALSE)</f>
        <v>1.2</v>
      </c>
      <c r="G257" s="49">
        <f t="shared" si="18"/>
        <v>19840.86</v>
      </c>
      <c r="J257" s="222"/>
    </row>
    <row r="258" spans="1:10" s="219" customFormat="1">
      <c r="A258" s="179"/>
      <c r="B258" s="235" t="s">
        <v>720</v>
      </c>
      <c r="C258" s="267" t="s">
        <v>1008</v>
      </c>
      <c r="D258" s="4" t="s">
        <v>185</v>
      </c>
      <c r="E258" s="173">
        <v>61616.986000000004</v>
      </c>
      <c r="F258" s="209">
        <f>VLOOKUP(B258,[2]Plan1!A$1:D$65536,4,FALSE)</f>
        <v>1.2</v>
      </c>
      <c r="G258" s="49">
        <f t="shared" si="18"/>
        <v>73940.38</v>
      </c>
      <c r="J258" s="222"/>
    </row>
    <row r="259" spans="1:10" s="219" customFormat="1">
      <c r="A259" s="179"/>
      <c r="B259" s="238" t="s">
        <v>1603</v>
      </c>
      <c r="C259" s="261" t="s">
        <v>1604</v>
      </c>
      <c r="D259" s="218" t="s">
        <v>185</v>
      </c>
      <c r="E259" s="304">
        <v>15404.246500000001</v>
      </c>
      <c r="F259" s="209">
        <f>VLOOKUP(B259,[2]Plan1!A$1:D$65536,4,FALSE)</f>
        <v>8.64</v>
      </c>
      <c r="G259" s="49">
        <f>TRUNC(E259*F259,2)</f>
        <v>133092.68</v>
      </c>
      <c r="J259" s="222"/>
    </row>
    <row r="260" spans="1:10" s="219" customFormat="1">
      <c r="A260" s="179"/>
      <c r="B260" s="235" t="s">
        <v>722</v>
      </c>
      <c r="C260" s="267" t="s">
        <v>1644</v>
      </c>
      <c r="D260" s="4" t="s">
        <v>186</v>
      </c>
      <c r="E260" s="173">
        <v>770.21232500000008</v>
      </c>
      <c r="F260" s="209">
        <f>VLOOKUP(B260,[2]Plan1!A$1:D$65536,4,FALSE)</f>
        <v>378.64</v>
      </c>
      <c r="G260" s="49">
        <f>TRUNC(E260*F260,2)</f>
        <v>291633.19</v>
      </c>
      <c r="J260" s="222"/>
    </row>
    <row r="261" spans="1:10" s="219" customFormat="1">
      <c r="A261" s="179"/>
      <c r="B261" s="235" t="s">
        <v>721</v>
      </c>
      <c r="C261" s="267" t="s">
        <v>188</v>
      </c>
      <c r="D261" s="4" t="s">
        <v>186</v>
      </c>
      <c r="E261" s="173">
        <v>1243.5897199999999</v>
      </c>
      <c r="F261" s="209">
        <f>VLOOKUP(B261,[2]Plan1!A$1:D$65536,4,FALSE)</f>
        <v>410.08</v>
      </c>
      <c r="G261" s="49">
        <f>TRUNC(E261*F261,2)</f>
        <v>509971.27</v>
      </c>
      <c r="J261" s="222"/>
    </row>
    <row r="262" spans="1:10" s="219" customFormat="1">
      <c r="A262" s="179"/>
      <c r="B262" s="239" t="s">
        <v>1605</v>
      </c>
      <c r="C262" s="269" t="s">
        <v>1637</v>
      </c>
      <c r="D262" s="210" t="s">
        <v>189</v>
      </c>
      <c r="E262" s="232">
        <v>3880</v>
      </c>
      <c r="F262" s="301">
        <v>29.9</v>
      </c>
      <c r="G262" s="306">
        <f>TRUNC(E262*F262,2)</f>
        <v>116012</v>
      </c>
      <c r="J262" s="222"/>
    </row>
    <row r="263" spans="1:10" s="219" customFormat="1">
      <c r="A263" s="179"/>
      <c r="B263" s="235"/>
      <c r="C263" s="270"/>
      <c r="D263" s="44"/>
      <c r="E263" s="307"/>
      <c r="F263" s="49"/>
      <c r="G263" s="209"/>
    </row>
    <row r="264" spans="1:10" s="219" customFormat="1">
      <c r="A264" s="179"/>
      <c r="B264" s="235"/>
      <c r="C264" s="266" t="s">
        <v>191</v>
      </c>
      <c r="D264" s="6"/>
      <c r="E264" s="307"/>
      <c r="F264" s="49"/>
      <c r="G264" s="209"/>
    </row>
    <row r="265" spans="1:10" s="219" customFormat="1">
      <c r="A265" s="179"/>
      <c r="B265" s="235" t="s">
        <v>724</v>
      </c>
      <c r="C265" s="267" t="s">
        <v>390</v>
      </c>
      <c r="D265" s="4" t="s">
        <v>185</v>
      </c>
      <c r="E265" s="304">
        <v>11284.824000000001</v>
      </c>
      <c r="F265" s="209">
        <f>VLOOKUP(B265,[2]Plan1!A$1:D$65536,4,FALSE)</f>
        <v>0.76</v>
      </c>
      <c r="G265" s="49">
        <f t="shared" ref="G265:G280" si="19">TRUNC(E265*F265,2)</f>
        <v>8576.4599999999991</v>
      </c>
    </row>
    <row r="266" spans="1:10" s="219" customFormat="1">
      <c r="A266" s="179"/>
      <c r="B266" s="235" t="s">
        <v>725</v>
      </c>
      <c r="C266" s="267" t="s">
        <v>1000</v>
      </c>
      <c r="D266" s="4" t="s">
        <v>186</v>
      </c>
      <c r="E266" s="304">
        <v>3949.6884</v>
      </c>
      <c r="F266" s="209">
        <f>VLOOKUP(B266,[2]Plan1!A$1:D$65536,4,FALSE)</f>
        <v>67.83</v>
      </c>
      <c r="G266" s="49">
        <f t="shared" si="19"/>
        <v>267907.36</v>
      </c>
    </row>
    <row r="267" spans="1:10" s="219" customFormat="1" ht="22.5">
      <c r="A267" s="179"/>
      <c r="B267" s="239" t="s">
        <v>1605</v>
      </c>
      <c r="C267" s="269" t="s">
        <v>1001</v>
      </c>
      <c r="D267" s="210" t="s">
        <v>186</v>
      </c>
      <c r="E267" s="305">
        <v>1692.7236</v>
      </c>
      <c r="F267" s="301">
        <v>63.84</v>
      </c>
      <c r="G267" s="306">
        <f t="shared" si="19"/>
        <v>108063.47</v>
      </c>
      <c r="H267" s="223"/>
    </row>
    <row r="268" spans="1:10" s="219" customFormat="1">
      <c r="A268" s="179"/>
      <c r="B268" s="235" t="s">
        <v>726</v>
      </c>
      <c r="C268" s="267" t="s">
        <v>1002</v>
      </c>
      <c r="D268" s="4" t="s">
        <v>186</v>
      </c>
      <c r="E268" s="304">
        <v>3949.6884</v>
      </c>
      <c r="F268" s="209">
        <f>VLOOKUP(B268,[2]Plan1!A$1:D$65536,4,FALSE)</f>
        <v>60.07</v>
      </c>
      <c r="G268" s="49">
        <f t="shared" si="19"/>
        <v>237257.78</v>
      </c>
    </row>
    <row r="269" spans="1:10" s="219" customFormat="1" ht="22.5">
      <c r="A269" s="179"/>
      <c r="B269" s="239" t="s">
        <v>1605</v>
      </c>
      <c r="C269" s="269" t="s">
        <v>1003</v>
      </c>
      <c r="D269" s="210" t="s">
        <v>186</v>
      </c>
      <c r="E269" s="305">
        <v>1692.7236</v>
      </c>
      <c r="F269" s="301">
        <v>47.96</v>
      </c>
      <c r="G269" s="306">
        <f t="shared" si="19"/>
        <v>81183.02</v>
      </c>
    </row>
    <row r="270" spans="1:10" s="219" customFormat="1">
      <c r="A270" s="179"/>
      <c r="B270" s="235" t="s">
        <v>727</v>
      </c>
      <c r="C270" s="267" t="s">
        <v>1004</v>
      </c>
      <c r="D270" s="4" t="s">
        <v>186</v>
      </c>
      <c r="E270" s="304">
        <v>3046.9024799999997</v>
      </c>
      <c r="F270" s="209">
        <f>VLOOKUP(B270,[2]Plan1!A$1:D$65536,4,FALSE)</f>
        <v>80.040000000000006</v>
      </c>
      <c r="G270" s="49">
        <f t="shared" si="19"/>
        <v>243874.07</v>
      </c>
    </row>
    <row r="271" spans="1:10" s="219" customFormat="1" ht="22.5">
      <c r="A271" s="179"/>
      <c r="B271" s="239" t="s">
        <v>1605</v>
      </c>
      <c r="C271" s="269" t="s">
        <v>1005</v>
      </c>
      <c r="D271" s="210" t="s">
        <v>186</v>
      </c>
      <c r="E271" s="305">
        <v>338.54471999999998</v>
      </c>
      <c r="F271" s="301">
        <v>67.55</v>
      </c>
      <c r="G271" s="306">
        <f t="shared" si="19"/>
        <v>22868.69</v>
      </c>
    </row>
    <row r="272" spans="1:10" s="219" customFormat="1">
      <c r="A272" s="179"/>
      <c r="B272" s="235" t="s">
        <v>729</v>
      </c>
      <c r="C272" s="267" t="s">
        <v>474</v>
      </c>
      <c r="D272" s="4" t="s">
        <v>185</v>
      </c>
      <c r="E272" s="304">
        <v>11284.824000000001</v>
      </c>
      <c r="F272" s="209">
        <f>VLOOKUP(B272,[2]Plan1!A$1:D$65536,4,FALSE)</f>
        <v>3.08</v>
      </c>
      <c r="G272" s="49">
        <f t="shared" si="19"/>
        <v>34757.25</v>
      </c>
    </row>
    <row r="273" spans="1:10" s="219" customFormat="1">
      <c r="A273" s="179"/>
      <c r="B273" s="235" t="s">
        <v>728</v>
      </c>
      <c r="C273" s="267" t="s">
        <v>1006</v>
      </c>
      <c r="D273" s="4" t="s">
        <v>186</v>
      </c>
      <c r="E273" s="304">
        <v>1692.7235999999998</v>
      </c>
      <c r="F273" s="209">
        <f>VLOOKUP(B273,[2]Plan1!A$1:D$65536,4,FALSE)</f>
        <v>206.07</v>
      </c>
      <c r="G273" s="49">
        <f t="shared" si="19"/>
        <v>348819.55</v>
      </c>
    </row>
    <row r="274" spans="1:10" s="219" customFormat="1">
      <c r="A274" s="179"/>
      <c r="B274" s="235" t="s">
        <v>720</v>
      </c>
      <c r="C274" s="267" t="s">
        <v>1007</v>
      </c>
      <c r="D274" s="4" t="s">
        <v>185</v>
      </c>
      <c r="E274" s="304">
        <v>11284.824000000001</v>
      </c>
      <c r="F274" s="209">
        <f>VLOOKUP(B274,[2]Plan1!A$1:D$65536,4,FALSE)</f>
        <v>1.2</v>
      </c>
      <c r="G274" s="49">
        <f t="shared" si="19"/>
        <v>13541.78</v>
      </c>
    </row>
    <row r="275" spans="1:10" s="219" customFormat="1" ht="12.75" customHeight="1">
      <c r="A275" s="179"/>
      <c r="B275" s="235" t="s">
        <v>720</v>
      </c>
      <c r="C275" s="267" t="s">
        <v>1008</v>
      </c>
      <c r="D275" s="4" t="s">
        <v>185</v>
      </c>
      <c r="E275" s="304">
        <v>29754.341999999997</v>
      </c>
      <c r="F275" s="209">
        <f>VLOOKUP(B275,[2]Plan1!A$1:D$65536,4,FALSE)</f>
        <v>1.2</v>
      </c>
      <c r="G275" s="49">
        <f t="shared" si="19"/>
        <v>35705.21</v>
      </c>
    </row>
    <row r="276" spans="1:10" s="219" customFormat="1">
      <c r="A276" s="179"/>
      <c r="B276" s="238" t="s">
        <v>1603</v>
      </c>
      <c r="C276" s="261" t="s">
        <v>1604</v>
      </c>
      <c r="D276" s="218" t="s">
        <v>185</v>
      </c>
      <c r="E276" s="304">
        <v>9918.1139999999996</v>
      </c>
      <c r="F276" s="209">
        <f>VLOOKUP(B276,[2]Plan1!A$1:D$65536,4,FALSE)</f>
        <v>8.64</v>
      </c>
      <c r="G276" s="49">
        <f>TRUNC(E276*F276,2)</f>
        <v>85692.5</v>
      </c>
      <c r="J276" s="222"/>
    </row>
    <row r="277" spans="1:10" s="219" customFormat="1">
      <c r="A277" s="179"/>
      <c r="B277" s="235" t="s">
        <v>722</v>
      </c>
      <c r="C277" s="267" t="s">
        <v>1644</v>
      </c>
      <c r="D277" s="4" t="s">
        <v>186</v>
      </c>
      <c r="E277" s="304">
        <v>396.72456</v>
      </c>
      <c r="F277" s="209">
        <f>VLOOKUP(B277,[2]Plan1!A$1:D$65536,4,FALSE)</f>
        <v>378.64</v>
      </c>
      <c r="G277" s="49">
        <f t="shared" si="19"/>
        <v>150215.78</v>
      </c>
    </row>
    <row r="278" spans="1:10" s="219" customFormat="1">
      <c r="A278" s="179"/>
      <c r="B278" s="235" t="s">
        <v>721</v>
      </c>
      <c r="C278" s="267" t="s">
        <v>188</v>
      </c>
      <c r="D278" s="4" t="s">
        <v>186</v>
      </c>
      <c r="E278" s="304">
        <v>495.90570000000008</v>
      </c>
      <c r="F278" s="209">
        <f>VLOOKUP(B278,[2]Plan1!A$1:D$65536,4,FALSE)</f>
        <v>410.08</v>
      </c>
      <c r="G278" s="49">
        <f t="shared" si="19"/>
        <v>203361</v>
      </c>
    </row>
    <row r="279" spans="1:10" s="219" customFormat="1">
      <c r="A279" s="179"/>
      <c r="B279" s="239" t="s">
        <v>1605</v>
      </c>
      <c r="C279" s="269" t="s">
        <v>1637</v>
      </c>
      <c r="D279" s="210" t="s">
        <v>189</v>
      </c>
      <c r="E279" s="305">
        <v>1580</v>
      </c>
      <c r="F279" s="301">
        <v>29.9</v>
      </c>
      <c r="G279" s="306">
        <f t="shared" si="19"/>
        <v>47242</v>
      </c>
    </row>
    <row r="280" spans="1:10" s="219" customFormat="1">
      <c r="A280" s="179"/>
      <c r="B280" s="239" t="s">
        <v>1605</v>
      </c>
      <c r="C280" s="269" t="s">
        <v>1638</v>
      </c>
      <c r="D280" s="210" t="s">
        <v>189</v>
      </c>
      <c r="E280" s="305">
        <v>1160</v>
      </c>
      <c r="F280" s="301">
        <v>29.9</v>
      </c>
      <c r="G280" s="306">
        <f t="shared" si="19"/>
        <v>34684</v>
      </c>
    </row>
    <row r="281" spans="1:10" s="219" customFormat="1">
      <c r="A281" s="179"/>
      <c r="B281" s="235"/>
      <c r="C281" s="267"/>
      <c r="D281" s="4"/>
      <c r="E281" s="304"/>
      <c r="F281" s="49"/>
      <c r="G281" s="209"/>
    </row>
    <row r="282" spans="1:10" s="219" customFormat="1">
      <c r="A282" s="179"/>
      <c r="B282" s="235"/>
      <c r="C282" s="266" t="s">
        <v>193</v>
      </c>
      <c r="D282" s="6"/>
      <c r="E282" s="307"/>
      <c r="F282" s="49"/>
      <c r="G282" s="209"/>
    </row>
    <row r="283" spans="1:10" s="219" customFormat="1">
      <c r="A283" s="179"/>
      <c r="B283" s="235" t="s">
        <v>724</v>
      </c>
      <c r="C283" s="267" t="s">
        <v>390</v>
      </c>
      <c r="D283" s="4" t="s">
        <v>185</v>
      </c>
      <c r="E283" s="304">
        <v>10813.49</v>
      </c>
      <c r="F283" s="209">
        <f>VLOOKUP(B283,[2]Plan1!A$1:D$65536,4,FALSE)</f>
        <v>0.76</v>
      </c>
      <c r="G283" s="49">
        <f t="shared" ref="G283:G293" si="20">TRUNC(E283*F283,2)</f>
        <v>8218.25</v>
      </c>
    </row>
    <row r="284" spans="1:10" s="219" customFormat="1">
      <c r="A284" s="179"/>
      <c r="B284" s="235" t="s">
        <v>725</v>
      </c>
      <c r="C284" s="267" t="s">
        <v>1000</v>
      </c>
      <c r="D284" s="4" t="s">
        <v>186</v>
      </c>
      <c r="E284" s="304">
        <v>3784.7214999999997</v>
      </c>
      <c r="F284" s="209">
        <f>VLOOKUP(B284,[2]Plan1!A$1:D$65536,4,FALSE)</f>
        <v>67.83</v>
      </c>
      <c r="G284" s="49">
        <f t="shared" si="20"/>
        <v>256717.65</v>
      </c>
      <c r="H284" s="223"/>
    </row>
    <row r="285" spans="1:10" s="219" customFormat="1" ht="22.5">
      <c r="A285" s="179"/>
      <c r="B285" s="239" t="s">
        <v>1605</v>
      </c>
      <c r="C285" s="269" t="s">
        <v>1001</v>
      </c>
      <c r="D285" s="210" t="s">
        <v>186</v>
      </c>
      <c r="E285" s="305">
        <v>1622.0235</v>
      </c>
      <c r="F285" s="301">
        <v>63.84</v>
      </c>
      <c r="G285" s="306">
        <f t="shared" si="20"/>
        <v>103549.98</v>
      </c>
    </row>
    <row r="286" spans="1:10" s="219" customFormat="1">
      <c r="A286" s="179"/>
      <c r="B286" s="235" t="s">
        <v>726</v>
      </c>
      <c r="C286" s="267" t="s">
        <v>1002</v>
      </c>
      <c r="D286" s="4" t="s">
        <v>186</v>
      </c>
      <c r="E286" s="304">
        <v>3784.7214999999997</v>
      </c>
      <c r="F286" s="209">
        <f>VLOOKUP(B286,[2]Plan1!A$1:D$65536,4,FALSE)</f>
        <v>60.07</v>
      </c>
      <c r="G286" s="49">
        <f t="shared" si="20"/>
        <v>227348.22</v>
      </c>
    </row>
    <row r="287" spans="1:10" s="219" customFormat="1" ht="22.5">
      <c r="A287" s="179"/>
      <c r="B287" s="239" t="s">
        <v>1605</v>
      </c>
      <c r="C287" s="269" t="s">
        <v>1003</v>
      </c>
      <c r="D287" s="210" t="s">
        <v>186</v>
      </c>
      <c r="E287" s="305">
        <v>1622.0235</v>
      </c>
      <c r="F287" s="301">
        <v>47.96</v>
      </c>
      <c r="G287" s="306">
        <f t="shared" si="20"/>
        <v>77792.240000000005</v>
      </c>
    </row>
    <row r="288" spans="1:10" s="219" customFormat="1">
      <c r="A288" s="179"/>
      <c r="B288" s="235" t="s">
        <v>727</v>
      </c>
      <c r="C288" s="267" t="s">
        <v>1004</v>
      </c>
      <c r="D288" s="4" t="s">
        <v>186</v>
      </c>
      <c r="E288" s="304">
        <v>2919.6422999999995</v>
      </c>
      <c r="F288" s="209">
        <f>VLOOKUP(B288,[2]Plan1!A$1:D$65536,4,FALSE)</f>
        <v>80.040000000000006</v>
      </c>
      <c r="G288" s="49">
        <f t="shared" si="20"/>
        <v>233688.16</v>
      </c>
    </row>
    <row r="289" spans="1:10" s="219" customFormat="1" ht="22.5">
      <c r="A289" s="179"/>
      <c r="B289" s="239" t="s">
        <v>1605</v>
      </c>
      <c r="C289" s="269" t="s">
        <v>1005</v>
      </c>
      <c r="D289" s="210" t="s">
        <v>186</v>
      </c>
      <c r="E289" s="305">
        <v>324.40469999999999</v>
      </c>
      <c r="F289" s="301">
        <v>67.55</v>
      </c>
      <c r="G289" s="306">
        <f t="shared" si="20"/>
        <v>21913.53</v>
      </c>
    </row>
    <row r="290" spans="1:10" s="219" customFormat="1">
      <c r="A290" s="179"/>
      <c r="B290" s="235" t="s">
        <v>729</v>
      </c>
      <c r="C290" s="267" t="s">
        <v>474</v>
      </c>
      <c r="D290" s="4" t="s">
        <v>185</v>
      </c>
      <c r="E290" s="304">
        <v>10813.49</v>
      </c>
      <c r="F290" s="209">
        <f>VLOOKUP(B290,[2]Plan1!A$1:D$65536,4,FALSE)</f>
        <v>3.08</v>
      </c>
      <c r="G290" s="49">
        <f t="shared" si="20"/>
        <v>33305.54</v>
      </c>
    </row>
    <row r="291" spans="1:10" s="219" customFormat="1">
      <c r="A291" s="179"/>
      <c r="B291" s="235" t="s">
        <v>728</v>
      </c>
      <c r="C291" s="267" t="s">
        <v>1006</v>
      </c>
      <c r="D291" s="4" t="s">
        <v>186</v>
      </c>
      <c r="E291" s="304">
        <v>1622.0234999999998</v>
      </c>
      <c r="F291" s="209">
        <f>VLOOKUP(B291,[2]Plan1!A$1:D$65536,4,FALSE)</f>
        <v>206.07</v>
      </c>
      <c r="G291" s="49">
        <f t="shared" si="20"/>
        <v>334250.38</v>
      </c>
    </row>
    <row r="292" spans="1:10" s="219" customFormat="1">
      <c r="A292" s="179"/>
      <c r="B292" s="235" t="s">
        <v>720</v>
      </c>
      <c r="C292" s="267" t="s">
        <v>1007</v>
      </c>
      <c r="D292" s="4" t="s">
        <v>185</v>
      </c>
      <c r="E292" s="304">
        <v>10813.49</v>
      </c>
      <c r="F292" s="209">
        <f>VLOOKUP(B292,[2]Plan1!A$1:D$65536,4,FALSE)</f>
        <v>1.2</v>
      </c>
      <c r="G292" s="49">
        <f t="shared" si="20"/>
        <v>12976.18</v>
      </c>
    </row>
    <row r="293" spans="1:10" s="219" customFormat="1" ht="12.75" customHeight="1">
      <c r="A293" s="179"/>
      <c r="B293" s="235" t="s">
        <v>720</v>
      </c>
      <c r="C293" s="267" t="s">
        <v>1008</v>
      </c>
      <c r="D293" s="4" t="s">
        <v>185</v>
      </c>
      <c r="E293" s="304">
        <v>28372.724999999999</v>
      </c>
      <c r="F293" s="209">
        <f>VLOOKUP(B293,[2]Plan1!A$1:D$65536,4,FALSE)</f>
        <v>1.2</v>
      </c>
      <c r="G293" s="49">
        <f t="shared" si="20"/>
        <v>34047.269999999997</v>
      </c>
    </row>
    <row r="294" spans="1:10" s="219" customFormat="1">
      <c r="A294" s="179"/>
      <c r="B294" s="238" t="s">
        <v>1603</v>
      </c>
      <c r="C294" s="261" t="s">
        <v>1604</v>
      </c>
      <c r="D294" s="218" t="s">
        <v>185</v>
      </c>
      <c r="E294" s="304">
        <v>9457.5750000000007</v>
      </c>
      <c r="F294" s="209">
        <f>VLOOKUP(B294,[2]Plan1!A$1:D$65536,4,FALSE)</f>
        <v>8.64</v>
      </c>
      <c r="G294" s="49">
        <f>TRUNC(E294*F294,2)</f>
        <v>81713.440000000002</v>
      </c>
      <c r="J294" s="222"/>
    </row>
    <row r="295" spans="1:10" s="219" customFormat="1">
      <c r="A295" s="179"/>
      <c r="B295" s="235" t="s">
        <v>722</v>
      </c>
      <c r="C295" s="267" t="s">
        <v>1644</v>
      </c>
      <c r="D295" s="4" t="s">
        <v>186</v>
      </c>
      <c r="E295" s="304">
        <v>378.30299999999994</v>
      </c>
      <c r="F295" s="209">
        <f>VLOOKUP(B295,[2]Plan1!A$1:D$65536,4,FALSE)</f>
        <v>378.64</v>
      </c>
      <c r="G295" s="49">
        <f>TRUNC(E295*F295,2)</f>
        <v>143240.64000000001</v>
      </c>
    </row>
    <row r="296" spans="1:10" s="219" customFormat="1">
      <c r="A296" s="179"/>
      <c r="B296" s="235" t="s">
        <v>721</v>
      </c>
      <c r="C296" s="267" t="s">
        <v>188</v>
      </c>
      <c r="D296" s="4" t="s">
        <v>186</v>
      </c>
      <c r="E296" s="304">
        <v>472.87875000000003</v>
      </c>
      <c r="F296" s="209">
        <f>VLOOKUP(B296,[2]Plan1!A$1:D$65536,4,FALSE)</f>
        <v>410.08</v>
      </c>
      <c r="G296" s="49">
        <f>TRUNC(E296*F296,2)</f>
        <v>193918.11</v>
      </c>
    </row>
    <row r="297" spans="1:10" s="219" customFormat="1">
      <c r="A297" s="179"/>
      <c r="B297" s="239" t="s">
        <v>1605</v>
      </c>
      <c r="C297" s="269" t="s">
        <v>1637</v>
      </c>
      <c r="D297" s="210" t="s">
        <v>189</v>
      </c>
      <c r="E297" s="305">
        <v>1540</v>
      </c>
      <c r="F297" s="301">
        <v>29.9</v>
      </c>
      <c r="G297" s="306">
        <f>TRUNC(E297*F297,2)</f>
        <v>46046</v>
      </c>
    </row>
    <row r="298" spans="1:10" s="219" customFormat="1">
      <c r="A298" s="179"/>
      <c r="B298" s="239" t="s">
        <v>1605</v>
      </c>
      <c r="C298" s="269" t="s">
        <v>1638</v>
      </c>
      <c r="D298" s="210" t="s">
        <v>189</v>
      </c>
      <c r="E298" s="305">
        <v>1280</v>
      </c>
      <c r="F298" s="301">
        <v>29.9</v>
      </c>
      <c r="G298" s="306">
        <f>TRUNC(E298*F298,2)</f>
        <v>38272</v>
      </c>
    </row>
    <row r="299" spans="1:10" s="219" customFormat="1">
      <c r="A299" s="179"/>
      <c r="B299" s="235"/>
      <c r="C299" s="270"/>
      <c r="D299" s="44"/>
      <c r="E299" s="307"/>
      <c r="F299" s="49"/>
      <c r="G299" s="209"/>
    </row>
    <row r="300" spans="1:10" s="219" customFormat="1">
      <c r="A300" s="179"/>
      <c r="B300" s="235"/>
      <c r="C300" s="266" t="s">
        <v>504</v>
      </c>
      <c r="D300" s="6"/>
      <c r="E300" s="307"/>
      <c r="F300" s="49"/>
      <c r="G300" s="209"/>
    </row>
    <row r="301" spans="1:10" s="219" customFormat="1">
      <c r="A301" s="179"/>
      <c r="B301" s="235" t="s">
        <v>724</v>
      </c>
      <c r="C301" s="267" t="s">
        <v>390</v>
      </c>
      <c r="D301" s="4" t="s">
        <v>185</v>
      </c>
      <c r="E301" s="304">
        <v>3259.692</v>
      </c>
      <c r="F301" s="209">
        <f>VLOOKUP(B301,[2]Plan1!A$1:D$65536,4,FALSE)</f>
        <v>0.76</v>
      </c>
      <c r="G301" s="49">
        <f t="shared" ref="G301:G315" si="21">TRUNC(E301*F301,2)</f>
        <v>2477.36</v>
      </c>
    </row>
    <row r="302" spans="1:10" s="219" customFormat="1">
      <c r="A302" s="179"/>
      <c r="B302" s="235" t="s">
        <v>725</v>
      </c>
      <c r="C302" s="267" t="s">
        <v>1000</v>
      </c>
      <c r="D302" s="4" t="s">
        <v>186</v>
      </c>
      <c r="E302" s="304">
        <v>1140.8922</v>
      </c>
      <c r="F302" s="209">
        <f>VLOOKUP(B302,[2]Plan1!A$1:D$65536,4,FALSE)</f>
        <v>67.83</v>
      </c>
      <c r="G302" s="49">
        <f t="shared" si="21"/>
        <v>77386.710000000006</v>
      </c>
    </row>
    <row r="303" spans="1:10" s="219" customFormat="1" ht="22.5">
      <c r="A303" s="179"/>
      <c r="B303" s="239" t="s">
        <v>1605</v>
      </c>
      <c r="C303" s="269" t="s">
        <v>1001</v>
      </c>
      <c r="D303" s="210" t="s">
        <v>186</v>
      </c>
      <c r="E303" s="305">
        <v>488.9538</v>
      </c>
      <c r="F303" s="301">
        <v>63.84</v>
      </c>
      <c r="G303" s="306">
        <f t="shared" si="21"/>
        <v>31214.81</v>
      </c>
      <c r="I303" s="223"/>
    </row>
    <row r="304" spans="1:10" s="219" customFormat="1">
      <c r="A304" s="179"/>
      <c r="B304" s="235" t="s">
        <v>726</v>
      </c>
      <c r="C304" s="267" t="s">
        <v>1002</v>
      </c>
      <c r="D304" s="4" t="s">
        <v>186</v>
      </c>
      <c r="E304" s="304">
        <v>1140.8922</v>
      </c>
      <c r="F304" s="209">
        <f>VLOOKUP(B304,[2]Plan1!A$1:D$65536,4,FALSE)</f>
        <v>60.07</v>
      </c>
      <c r="G304" s="49">
        <f t="shared" si="21"/>
        <v>68533.39</v>
      </c>
    </row>
    <row r="305" spans="1:9" s="219" customFormat="1" ht="22.5">
      <c r="A305" s="179"/>
      <c r="B305" s="239" t="s">
        <v>1605</v>
      </c>
      <c r="C305" s="269" t="s">
        <v>1003</v>
      </c>
      <c r="D305" s="210" t="s">
        <v>186</v>
      </c>
      <c r="E305" s="305">
        <v>488.9538</v>
      </c>
      <c r="F305" s="301">
        <v>47.96</v>
      </c>
      <c r="G305" s="306">
        <f t="shared" si="21"/>
        <v>23450.22</v>
      </c>
    </row>
    <row r="306" spans="1:9" s="219" customFormat="1" ht="12.75" customHeight="1">
      <c r="A306" s="179"/>
      <c r="B306" s="235" t="s">
        <v>727</v>
      </c>
      <c r="C306" s="267" t="s">
        <v>1004</v>
      </c>
      <c r="D306" s="4" t="s">
        <v>186</v>
      </c>
      <c r="E306" s="304">
        <v>880.11683999999991</v>
      </c>
      <c r="F306" s="209">
        <f>VLOOKUP(B306,[2]Plan1!A$1:D$65536,4,FALSE)</f>
        <v>80.040000000000006</v>
      </c>
      <c r="G306" s="49">
        <f t="shared" si="21"/>
        <v>70444.55</v>
      </c>
    </row>
    <row r="307" spans="1:9" s="219" customFormat="1" ht="12.75" customHeight="1">
      <c r="A307" s="179"/>
      <c r="B307" s="239" t="s">
        <v>1605</v>
      </c>
      <c r="C307" s="269" t="s">
        <v>1005</v>
      </c>
      <c r="D307" s="210" t="s">
        <v>186</v>
      </c>
      <c r="E307" s="305">
        <v>97.790759999999992</v>
      </c>
      <c r="F307" s="301">
        <v>67.55</v>
      </c>
      <c r="G307" s="306">
        <f t="shared" si="21"/>
        <v>6605.76</v>
      </c>
    </row>
    <row r="308" spans="1:9" s="219" customFormat="1" ht="12.75" customHeight="1">
      <c r="A308" s="179"/>
      <c r="B308" s="235" t="s">
        <v>729</v>
      </c>
      <c r="C308" s="267" t="s">
        <v>474</v>
      </c>
      <c r="D308" s="4" t="s">
        <v>185</v>
      </c>
      <c r="E308" s="304">
        <v>3259.692</v>
      </c>
      <c r="F308" s="209">
        <f>VLOOKUP(B308,[2]Plan1!A$1:D$65536,4,FALSE)</f>
        <v>3.08</v>
      </c>
      <c r="G308" s="49">
        <f t="shared" si="21"/>
        <v>10039.85</v>
      </c>
    </row>
    <row r="309" spans="1:9" s="219" customFormat="1" ht="12.75" customHeight="1">
      <c r="A309" s="179"/>
      <c r="B309" s="235" t="s">
        <v>728</v>
      </c>
      <c r="C309" s="267" t="s">
        <v>1006</v>
      </c>
      <c r="D309" s="4" t="s">
        <v>186</v>
      </c>
      <c r="E309" s="304">
        <v>488.95379999999994</v>
      </c>
      <c r="F309" s="209">
        <f>VLOOKUP(B309,[2]Plan1!A$1:D$65536,4,FALSE)</f>
        <v>206.07</v>
      </c>
      <c r="G309" s="49">
        <f t="shared" si="21"/>
        <v>100758.7</v>
      </c>
    </row>
    <row r="310" spans="1:9" s="219" customFormat="1" ht="12.75" customHeight="1">
      <c r="A310" s="179"/>
      <c r="B310" s="235" t="s">
        <v>720</v>
      </c>
      <c r="C310" s="267" t="s">
        <v>1007</v>
      </c>
      <c r="D310" s="4" t="s">
        <v>185</v>
      </c>
      <c r="E310" s="304">
        <v>3259.692</v>
      </c>
      <c r="F310" s="209">
        <f>VLOOKUP(B310,[2]Plan1!A$1:D$65536,4,FALSE)</f>
        <v>1.2</v>
      </c>
      <c r="G310" s="49">
        <f t="shared" si="21"/>
        <v>3911.63</v>
      </c>
    </row>
    <row r="311" spans="1:9" s="219" customFormat="1">
      <c r="A311" s="179"/>
      <c r="B311" s="235" t="s">
        <v>720</v>
      </c>
      <c r="C311" s="267" t="s">
        <v>1008</v>
      </c>
      <c r="D311" s="4" t="s">
        <v>185</v>
      </c>
      <c r="E311" s="304">
        <v>9308.021999999999</v>
      </c>
      <c r="F311" s="209">
        <f>VLOOKUP(B311,[2]Plan1!A$1:D$65536,4,FALSE)</f>
        <v>1.2</v>
      </c>
      <c r="G311" s="49">
        <f t="shared" si="21"/>
        <v>11169.62</v>
      </c>
    </row>
    <row r="312" spans="1:9" s="219" customFormat="1">
      <c r="A312" s="179"/>
      <c r="B312" s="238" t="s">
        <v>1603</v>
      </c>
      <c r="C312" s="261" t="s">
        <v>1604</v>
      </c>
      <c r="D312" s="218" t="s">
        <v>185</v>
      </c>
      <c r="E312" s="304">
        <v>3102.6739999999995</v>
      </c>
      <c r="F312" s="209">
        <f>VLOOKUP(B312,[2]Plan1!A$1:D$65536,4,FALSE)</f>
        <v>8.64</v>
      </c>
      <c r="G312" s="49">
        <f>TRUNC(E312*F312,2)</f>
        <v>26807.1</v>
      </c>
    </row>
    <row r="313" spans="1:9" s="219" customFormat="1">
      <c r="A313" s="179"/>
      <c r="B313" s="235" t="s">
        <v>722</v>
      </c>
      <c r="C313" s="267" t="s">
        <v>1644</v>
      </c>
      <c r="D313" s="4" t="s">
        <v>186</v>
      </c>
      <c r="E313" s="304">
        <v>124.10696</v>
      </c>
      <c r="F313" s="209">
        <f>VLOOKUP(B313,[2]Plan1!A$1:D$65536,4,FALSE)</f>
        <v>378.64</v>
      </c>
      <c r="G313" s="49">
        <f t="shared" si="21"/>
        <v>46991.85</v>
      </c>
    </row>
    <row r="314" spans="1:9" s="219" customFormat="1">
      <c r="A314" s="179"/>
      <c r="B314" s="235" t="s">
        <v>721</v>
      </c>
      <c r="C314" s="267" t="s">
        <v>188</v>
      </c>
      <c r="D314" s="4" t="s">
        <v>186</v>
      </c>
      <c r="E314" s="304">
        <v>155.13369999999998</v>
      </c>
      <c r="F314" s="209">
        <f>VLOOKUP(B314,[2]Plan1!A$1:D$65536,4,FALSE)</f>
        <v>410.08</v>
      </c>
      <c r="G314" s="49">
        <f t="shared" si="21"/>
        <v>63617.22</v>
      </c>
    </row>
    <row r="315" spans="1:9" s="219" customFormat="1">
      <c r="A315" s="179"/>
      <c r="B315" s="239" t="s">
        <v>1605</v>
      </c>
      <c r="C315" s="269" t="s">
        <v>1637</v>
      </c>
      <c r="D315" s="210" t="s">
        <v>189</v>
      </c>
      <c r="E315" s="305">
        <v>665</v>
      </c>
      <c r="F315" s="301">
        <v>29.9</v>
      </c>
      <c r="G315" s="306">
        <f t="shared" si="21"/>
        <v>19883.5</v>
      </c>
    </row>
    <row r="316" spans="1:9" s="219" customFormat="1">
      <c r="A316" s="179"/>
      <c r="B316" s="235"/>
      <c r="C316" s="267"/>
      <c r="D316" s="4"/>
      <c r="E316" s="304"/>
      <c r="F316" s="49"/>
      <c r="G316" s="49"/>
    </row>
    <row r="317" spans="1:9" s="219" customFormat="1">
      <c r="A317" s="179"/>
      <c r="B317" s="235"/>
      <c r="C317" s="270" t="s">
        <v>506</v>
      </c>
      <c r="D317" s="44"/>
      <c r="E317" s="307"/>
      <c r="F317" s="49"/>
      <c r="G317" s="209"/>
    </row>
    <row r="318" spans="1:9" s="219" customFormat="1">
      <c r="A318" s="179"/>
      <c r="B318" s="235" t="s">
        <v>724</v>
      </c>
      <c r="C318" s="267" t="s">
        <v>390</v>
      </c>
      <c r="D318" s="4" t="s">
        <v>185</v>
      </c>
      <c r="E318" s="304">
        <v>2314.7249999999999</v>
      </c>
      <c r="F318" s="209">
        <f>VLOOKUP(B318,[2]Plan1!A$1:D$65536,4,FALSE)</f>
        <v>0.76</v>
      </c>
      <c r="G318" s="49">
        <f t="shared" ref="G318:G328" si="22">TRUNC(E318*F318,2)</f>
        <v>1759.19</v>
      </c>
    </row>
    <row r="319" spans="1:9" s="219" customFormat="1">
      <c r="A319" s="179"/>
      <c r="B319" s="235" t="s">
        <v>725</v>
      </c>
      <c r="C319" s="267" t="s">
        <v>1000</v>
      </c>
      <c r="D319" s="4" t="s">
        <v>186</v>
      </c>
      <c r="E319" s="304">
        <v>810.15374999999995</v>
      </c>
      <c r="F319" s="209">
        <f>VLOOKUP(B319,[2]Plan1!A$1:D$65536,4,FALSE)</f>
        <v>67.83</v>
      </c>
      <c r="G319" s="49">
        <f t="shared" si="22"/>
        <v>54952.72</v>
      </c>
    </row>
    <row r="320" spans="1:9" s="219" customFormat="1" ht="22.5">
      <c r="A320" s="179"/>
      <c r="B320" s="239" t="s">
        <v>1605</v>
      </c>
      <c r="C320" s="269" t="s">
        <v>1001</v>
      </c>
      <c r="D320" s="210" t="s">
        <v>186</v>
      </c>
      <c r="E320" s="305">
        <v>347.20874999999995</v>
      </c>
      <c r="F320" s="301">
        <v>63.84</v>
      </c>
      <c r="G320" s="306">
        <f t="shared" si="22"/>
        <v>22165.8</v>
      </c>
      <c r="I320" s="223"/>
    </row>
    <row r="321" spans="1:7" s="219" customFormat="1">
      <c r="A321" s="179"/>
      <c r="B321" s="235" t="s">
        <v>726</v>
      </c>
      <c r="C321" s="267" t="s">
        <v>1002</v>
      </c>
      <c r="D321" s="4" t="s">
        <v>186</v>
      </c>
      <c r="E321" s="304">
        <v>810.15374999999995</v>
      </c>
      <c r="F321" s="209">
        <f>VLOOKUP(B321,[2]Plan1!A$1:D$65536,4,FALSE)</f>
        <v>60.07</v>
      </c>
      <c r="G321" s="49">
        <f t="shared" si="22"/>
        <v>48665.93</v>
      </c>
    </row>
    <row r="322" spans="1:7" s="219" customFormat="1" ht="22.5">
      <c r="A322" s="179"/>
      <c r="B322" s="239" t="s">
        <v>1605</v>
      </c>
      <c r="C322" s="269" t="s">
        <v>1003</v>
      </c>
      <c r="D322" s="210" t="s">
        <v>186</v>
      </c>
      <c r="E322" s="305">
        <v>347.20874999999995</v>
      </c>
      <c r="F322" s="301">
        <v>47.96</v>
      </c>
      <c r="G322" s="306">
        <f t="shared" si="22"/>
        <v>16652.13</v>
      </c>
    </row>
    <row r="323" spans="1:7" s="219" customFormat="1" ht="12.75" customHeight="1">
      <c r="A323" s="179"/>
      <c r="B323" s="235" t="s">
        <v>727</v>
      </c>
      <c r="C323" s="267" t="s">
        <v>1004</v>
      </c>
      <c r="D323" s="4" t="s">
        <v>186</v>
      </c>
      <c r="E323" s="304">
        <v>624.97575000000006</v>
      </c>
      <c r="F323" s="209">
        <f>VLOOKUP(B323,[2]Plan1!A$1:D$65536,4,FALSE)</f>
        <v>80.040000000000006</v>
      </c>
      <c r="G323" s="49">
        <f t="shared" si="22"/>
        <v>50023.05</v>
      </c>
    </row>
    <row r="324" spans="1:7" s="219" customFormat="1" ht="12.75" customHeight="1">
      <c r="A324" s="179"/>
      <c r="B324" s="239" t="s">
        <v>1605</v>
      </c>
      <c r="C324" s="269" t="s">
        <v>1005</v>
      </c>
      <c r="D324" s="210" t="s">
        <v>186</v>
      </c>
      <c r="E324" s="305">
        <v>69.441749999999999</v>
      </c>
      <c r="F324" s="301">
        <v>67.55</v>
      </c>
      <c r="G324" s="306">
        <f t="shared" si="22"/>
        <v>4690.79</v>
      </c>
    </row>
    <row r="325" spans="1:7" s="219" customFormat="1" ht="12.75" customHeight="1">
      <c r="A325" s="179"/>
      <c r="B325" s="235" t="s">
        <v>729</v>
      </c>
      <c r="C325" s="267" t="s">
        <v>474</v>
      </c>
      <c r="D325" s="4" t="s">
        <v>185</v>
      </c>
      <c r="E325" s="304">
        <v>2314.7249999999999</v>
      </c>
      <c r="F325" s="209">
        <f>VLOOKUP(B325,[2]Plan1!A$1:D$65536,4,FALSE)</f>
        <v>3.08</v>
      </c>
      <c r="G325" s="49">
        <f t="shared" si="22"/>
        <v>7129.35</v>
      </c>
    </row>
    <row r="326" spans="1:7" s="219" customFormat="1" ht="12.75" customHeight="1">
      <c r="A326" s="179"/>
      <c r="B326" s="235" t="s">
        <v>728</v>
      </c>
      <c r="C326" s="267" t="s">
        <v>1006</v>
      </c>
      <c r="D326" s="4" t="s">
        <v>186</v>
      </c>
      <c r="E326" s="304">
        <v>347.20875000000001</v>
      </c>
      <c r="F326" s="209">
        <f>VLOOKUP(B326,[2]Plan1!A$1:D$65536,4,FALSE)</f>
        <v>206.07</v>
      </c>
      <c r="G326" s="49">
        <f t="shared" si="22"/>
        <v>71549.3</v>
      </c>
    </row>
    <row r="327" spans="1:7" s="219" customFormat="1" ht="12.75" customHeight="1">
      <c r="A327" s="179"/>
      <c r="B327" s="235" t="s">
        <v>720</v>
      </c>
      <c r="C327" s="267" t="s">
        <v>1007</v>
      </c>
      <c r="D327" s="4" t="s">
        <v>185</v>
      </c>
      <c r="E327" s="304">
        <v>2314.7249999999999</v>
      </c>
      <c r="F327" s="209">
        <f>VLOOKUP(B327,[2]Plan1!A$1:D$65536,4,FALSE)</f>
        <v>1.2</v>
      </c>
      <c r="G327" s="49">
        <f t="shared" si="22"/>
        <v>2777.67</v>
      </c>
    </row>
    <row r="328" spans="1:7" s="219" customFormat="1">
      <c r="A328" s="179"/>
      <c r="B328" s="235" t="s">
        <v>720</v>
      </c>
      <c r="C328" s="267" t="s">
        <v>1008</v>
      </c>
      <c r="D328" s="4" t="s">
        <v>185</v>
      </c>
      <c r="E328" s="304">
        <v>6297</v>
      </c>
      <c r="F328" s="209">
        <f>VLOOKUP(B328,[2]Plan1!A$1:D$65536,4,FALSE)</f>
        <v>1.2</v>
      </c>
      <c r="G328" s="49">
        <f t="shared" si="22"/>
        <v>7556.4</v>
      </c>
    </row>
    <row r="329" spans="1:7" s="219" customFormat="1">
      <c r="A329" s="179"/>
      <c r="B329" s="238" t="s">
        <v>1603</v>
      </c>
      <c r="C329" s="261" t="s">
        <v>1604</v>
      </c>
      <c r="D329" s="218" t="s">
        <v>185</v>
      </c>
      <c r="E329" s="304">
        <v>2099</v>
      </c>
      <c r="F329" s="209">
        <f>VLOOKUP(B329,[2]Plan1!A$1:D$65536,4,FALSE)</f>
        <v>8.64</v>
      </c>
      <c r="G329" s="49">
        <f>TRUNC(E329*F329,2)</f>
        <v>18135.36</v>
      </c>
    </row>
    <row r="330" spans="1:7" s="219" customFormat="1">
      <c r="A330" s="179"/>
      <c r="B330" s="235" t="s">
        <v>722</v>
      </c>
      <c r="C330" s="267" t="s">
        <v>1644</v>
      </c>
      <c r="D330" s="4" t="s">
        <v>186</v>
      </c>
      <c r="E330" s="304">
        <v>83.96</v>
      </c>
      <c r="F330" s="209">
        <f>VLOOKUP(B330,[2]Plan1!A$1:D$65536,4,FALSE)</f>
        <v>378.64</v>
      </c>
      <c r="G330" s="49">
        <f>TRUNC(E330*F330,2)</f>
        <v>31790.61</v>
      </c>
    </row>
    <row r="331" spans="1:7" s="219" customFormat="1">
      <c r="A331" s="179"/>
      <c r="B331" s="235" t="s">
        <v>721</v>
      </c>
      <c r="C331" s="267" t="s">
        <v>188</v>
      </c>
      <c r="D331" s="4" t="s">
        <v>186</v>
      </c>
      <c r="E331" s="304">
        <v>104.95</v>
      </c>
      <c r="F331" s="209">
        <f>VLOOKUP(B331,[2]Plan1!A$1:D$65536,4,FALSE)</f>
        <v>410.08</v>
      </c>
      <c r="G331" s="49">
        <f>TRUNC(E331*F331,2)</f>
        <v>43037.89</v>
      </c>
    </row>
    <row r="332" spans="1:7" s="219" customFormat="1">
      <c r="A332" s="179"/>
      <c r="B332" s="239" t="s">
        <v>1605</v>
      </c>
      <c r="C332" s="269" t="s">
        <v>1637</v>
      </c>
      <c r="D332" s="210" t="s">
        <v>189</v>
      </c>
      <c r="E332" s="305">
        <v>295</v>
      </c>
      <c r="F332" s="301">
        <v>29.9</v>
      </c>
      <c r="G332" s="306">
        <f>TRUNC(E332*F332,2)</f>
        <v>8820.5</v>
      </c>
    </row>
    <row r="333" spans="1:7" s="219" customFormat="1">
      <c r="A333" s="179"/>
      <c r="B333" s="235"/>
      <c r="C333" s="270"/>
      <c r="D333" s="44"/>
      <c r="E333" s="307"/>
      <c r="F333" s="49"/>
      <c r="G333" s="209"/>
    </row>
    <row r="334" spans="1:7" s="219" customFormat="1">
      <c r="A334" s="179"/>
      <c r="B334" s="235"/>
      <c r="C334" s="270" t="s">
        <v>505</v>
      </c>
      <c r="D334" s="44"/>
      <c r="E334" s="307"/>
      <c r="F334" s="49"/>
      <c r="G334" s="209"/>
    </row>
    <row r="335" spans="1:7" s="219" customFormat="1">
      <c r="A335" s="179"/>
      <c r="B335" s="235" t="s">
        <v>724</v>
      </c>
      <c r="C335" s="267" t="s">
        <v>390</v>
      </c>
      <c r="D335" s="4" t="s">
        <v>185</v>
      </c>
      <c r="E335" s="304">
        <v>2086.4789999999998</v>
      </c>
      <c r="F335" s="209">
        <f>VLOOKUP(B335,[2]Plan1!A$1:D$65536,4,FALSE)</f>
        <v>0.76</v>
      </c>
      <c r="G335" s="49">
        <f t="shared" ref="G335:G345" si="23">TRUNC(E335*F335,2)</f>
        <v>1585.72</v>
      </c>
    </row>
    <row r="336" spans="1:7" s="219" customFormat="1">
      <c r="A336" s="179"/>
      <c r="B336" s="235" t="s">
        <v>725</v>
      </c>
      <c r="C336" s="267" t="s">
        <v>1000</v>
      </c>
      <c r="D336" s="4" t="s">
        <v>186</v>
      </c>
      <c r="E336" s="304">
        <v>683.57764999999995</v>
      </c>
      <c r="F336" s="209">
        <f>VLOOKUP(B336,[2]Plan1!A$1:D$65536,4,FALSE)</f>
        <v>67.83</v>
      </c>
      <c r="G336" s="49">
        <f t="shared" si="23"/>
        <v>46367.07</v>
      </c>
    </row>
    <row r="337" spans="1:9" s="219" customFormat="1" ht="22.5">
      <c r="A337" s="179"/>
      <c r="B337" s="239" t="s">
        <v>1605</v>
      </c>
      <c r="C337" s="269" t="s">
        <v>1001</v>
      </c>
      <c r="D337" s="210" t="s">
        <v>186</v>
      </c>
      <c r="E337" s="305">
        <v>292.96184999999997</v>
      </c>
      <c r="F337" s="301">
        <v>63.84</v>
      </c>
      <c r="G337" s="306">
        <f t="shared" si="23"/>
        <v>18702.68</v>
      </c>
      <c r="I337" s="223"/>
    </row>
    <row r="338" spans="1:9" s="219" customFormat="1">
      <c r="A338" s="179"/>
      <c r="B338" s="235" t="s">
        <v>726</v>
      </c>
      <c r="C338" s="267" t="s">
        <v>1002</v>
      </c>
      <c r="D338" s="4" t="s">
        <v>186</v>
      </c>
      <c r="E338" s="304">
        <v>683.57764999999995</v>
      </c>
      <c r="F338" s="209">
        <f>VLOOKUP(B338,[2]Plan1!A$1:D$65536,4,FALSE)</f>
        <v>60.07</v>
      </c>
      <c r="G338" s="49">
        <f t="shared" si="23"/>
        <v>41062.5</v>
      </c>
    </row>
    <row r="339" spans="1:9" s="219" customFormat="1" ht="22.5">
      <c r="A339" s="179"/>
      <c r="B339" s="239" t="s">
        <v>1605</v>
      </c>
      <c r="C339" s="269" t="s">
        <v>1003</v>
      </c>
      <c r="D339" s="210" t="s">
        <v>186</v>
      </c>
      <c r="E339" s="305">
        <v>292.96184999999997</v>
      </c>
      <c r="F339" s="301">
        <v>47.96</v>
      </c>
      <c r="G339" s="306">
        <f t="shared" si="23"/>
        <v>14050.45</v>
      </c>
    </row>
    <row r="340" spans="1:9" s="219" customFormat="1" ht="12.75" customHeight="1">
      <c r="A340" s="179"/>
      <c r="B340" s="235" t="s">
        <v>727</v>
      </c>
      <c r="C340" s="267" t="s">
        <v>1004</v>
      </c>
      <c r="D340" s="4" t="s">
        <v>186</v>
      </c>
      <c r="E340" s="304">
        <v>527.33132999999998</v>
      </c>
      <c r="F340" s="209">
        <f>VLOOKUP(B340,[2]Plan1!A$1:D$65536,4,FALSE)</f>
        <v>80.040000000000006</v>
      </c>
      <c r="G340" s="49">
        <f t="shared" si="23"/>
        <v>42207.59</v>
      </c>
    </row>
    <row r="341" spans="1:9" s="219" customFormat="1" ht="12.75" customHeight="1">
      <c r="A341" s="179"/>
      <c r="B341" s="239" t="s">
        <v>1605</v>
      </c>
      <c r="C341" s="269" t="s">
        <v>1005</v>
      </c>
      <c r="D341" s="210" t="s">
        <v>186</v>
      </c>
      <c r="E341" s="305">
        <v>58.592369999999995</v>
      </c>
      <c r="F341" s="301">
        <v>67.55</v>
      </c>
      <c r="G341" s="306">
        <f t="shared" si="23"/>
        <v>3957.91</v>
      </c>
    </row>
    <row r="342" spans="1:9" s="219" customFormat="1" ht="12.75" customHeight="1">
      <c r="A342" s="179"/>
      <c r="B342" s="235" t="s">
        <v>729</v>
      </c>
      <c r="C342" s="267" t="s">
        <v>474</v>
      </c>
      <c r="D342" s="4" t="s">
        <v>185</v>
      </c>
      <c r="E342" s="304">
        <v>1953.079</v>
      </c>
      <c r="F342" s="209">
        <f>VLOOKUP(B342,[2]Plan1!A$1:D$65536,4,FALSE)</f>
        <v>3.08</v>
      </c>
      <c r="G342" s="49">
        <f t="shared" si="23"/>
        <v>6015.48</v>
      </c>
    </row>
    <row r="343" spans="1:9" s="219" customFormat="1" ht="12.75" customHeight="1">
      <c r="A343" s="179"/>
      <c r="B343" s="235" t="s">
        <v>728</v>
      </c>
      <c r="C343" s="267" t="s">
        <v>1006</v>
      </c>
      <c r="D343" s="4" t="s">
        <v>186</v>
      </c>
      <c r="E343" s="304">
        <v>292.96184999999997</v>
      </c>
      <c r="F343" s="209">
        <f>VLOOKUP(B343,[2]Plan1!A$1:D$65536,4,FALSE)</f>
        <v>206.07</v>
      </c>
      <c r="G343" s="49">
        <f t="shared" si="23"/>
        <v>60370.64</v>
      </c>
    </row>
    <row r="344" spans="1:9" s="219" customFormat="1" ht="12.75" customHeight="1">
      <c r="A344" s="179"/>
      <c r="B344" s="235" t="s">
        <v>720</v>
      </c>
      <c r="C344" s="267" t="s">
        <v>1007</v>
      </c>
      <c r="D344" s="4" t="s">
        <v>185</v>
      </c>
      <c r="E344" s="304">
        <v>1953.079</v>
      </c>
      <c r="F344" s="209">
        <f>VLOOKUP(B344,[2]Plan1!A$1:D$65536,4,FALSE)</f>
        <v>1.2</v>
      </c>
      <c r="G344" s="49">
        <f t="shared" si="23"/>
        <v>2343.69</v>
      </c>
    </row>
    <row r="345" spans="1:9" s="219" customFormat="1">
      <c r="A345" s="179"/>
      <c r="B345" s="235" t="s">
        <v>720</v>
      </c>
      <c r="C345" s="267" t="s">
        <v>1008</v>
      </c>
      <c r="D345" s="4" t="s">
        <v>185</v>
      </c>
      <c r="E345" s="304">
        <v>5635.1070000000009</v>
      </c>
      <c r="F345" s="209">
        <f>VLOOKUP(B345,[2]Plan1!A$1:D$65536,4,FALSE)</f>
        <v>1.2</v>
      </c>
      <c r="G345" s="49">
        <f t="shared" si="23"/>
        <v>6762.12</v>
      </c>
    </row>
    <row r="346" spans="1:9" s="219" customFormat="1">
      <c r="A346" s="179"/>
      <c r="B346" s="238" t="s">
        <v>1603</v>
      </c>
      <c r="C346" s="261" t="s">
        <v>1604</v>
      </c>
      <c r="D346" s="218" t="s">
        <v>185</v>
      </c>
      <c r="E346" s="304">
        <v>1878.3690000000001</v>
      </c>
      <c r="F346" s="209">
        <f>VLOOKUP(B346,[2]Plan1!A$1:D$65536,4,FALSE)</f>
        <v>8.64</v>
      </c>
      <c r="G346" s="49">
        <f>TRUNC(E346*F346,2)</f>
        <v>16229.1</v>
      </c>
    </row>
    <row r="347" spans="1:9" s="219" customFormat="1">
      <c r="A347" s="179"/>
      <c r="B347" s="235" t="s">
        <v>722</v>
      </c>
      <c r="C347" s="267" t="s">
        <v>1644</v>
      </c>
      <c r="D347" s="4" t="s">
        <v>186</v>
      </c>
      <c r="E347" s="304">
        <v>75.134760000000014</v>
      </c>
      <c r="F347" s="209">
        <f>VLOOKUP(B347,[2]Plan1!A$1:D$65536,4,FALSE)</f>
        <v>378.64</v>
      </c>
      <c r="G347" s="49">
        <f>TRUNC(E347*F347,2)</f>
        <v>28449.02</v>
      </c>
    </row>
    <row r="348" spans="1:9" s="219" customFormat="1">
      <c r="A348" s="179"/>
      <c r="B348" s="235" t="s">
        <v>721</v>
      </c>
      <c r="C348" s="267" t="s">
        <v>188</v>
      </c>
      <c r="D348" s="4" t="s">
        <v>186</v>
      </c>
      <c r="E348" s="304">
        <v>93.918450000000007</v>
      </c>
      <c r="F348" s="209">
        <f>VLOOKUP(B348,[2]Plan1!A$1:D$65536,4,FALSE)</f>
        <v>410.08</v>
      </c>
      <c r="G348" s="49">
        <f>TRUNC(E348*F348,2)</f>
        <v>38514.07</v>
      </c>
    </row>
    <row r="349" spans="1:9" s="219" customFormat="1">
      <c r="A349" s="179"/>
      <c r="B349" s="239" t="s">
        <v>1605</v>
      </c>
      <c r="C349" s="269" t="s">
        <v>1637</v>
      </c>
      <c r="D349" s="210" t="s">
        <v>189</v>
      </c>
      <c r="E349" s="305">
        <v>465</v>
      </c>
      <c r="F349" s="301">
        <v>29.9</v>
      </c>
      <c r="G349" s="306">
        <f>TRUNC(E349*F349,2)</f>
        <v>13903.5</v>
      </c>
    </row>
    <row r="350" spans="1:9" s="219" customFormat="1">
      <c r="A350" s="179"/>
      <c r="B350" s="235"/>
      <c r="C350" s="270"/>
      <c r="D350" s="44"/>
      <c r="E350" s="307"/>
      <c r="F350" s="49"/>
      <c r="G350" s="209"/>
    </row>
    <row r="351" spans="1:9" s="219" customFormat="1">
      <c r="A351" s="179"/>
      <c r="B351" s="235"/>
      <c r="C351" s="270" t="s">
        <v>507</v>
      </c>
      <c r="D351" s="44"/>
      <c r="E351" s="307"/>
      <c r="F351" s="49"/>
      <c r="G351" s="209"/>
    </row>
    <row r="352" spans="1:9" s="219" customFormat="1">
      <c r="A352" s="179"/>
      <c r="B352" s="235" t="s">
        <v>724</v>
      </c>
      <c r="C352" s="267" t="s">
        <v>390</v>
      </c>
      <c r="D352" s="4" t="s">
        <v>185</v>
      </c>
      <c r="E352" s="304">
        <v>1527.33</v>
      </c>
      <c r="F352" s="209">
        <f>VLOOKUP(B352,[2]Plan1!A$1:D$65536,4,FALSE)</f>
        <v>0.76</v>
      </c>
      <c r="G352" s="49">
        <f t="shared" ref="G352:G362" si="24">TRUNC(E352*F352,2)</f>
        <v>1160.77</v>
      </c>
      <c r="I352" s="223"/>
    </row>
    <row r="353" spans="1:7" s="219" customFormat="1">
      <c r="A353" s="179"/>
      <c r="B353" s="235" t="s">
        <v>725</v>
      </c>
      <c r="C353" s="267" t="s">
        <v>1000</v>
      </c>
      <c r="D353" s="4" t="s">
        <v>186</v>
      </c>
      <c r="E353" s="304">
        <v>534.56549999999993</v>
      </c>
      <c r="F353" s="209">
        <f>VLOOKUP(B353,[2]Plan1!A$1:D$65536,4,FALSE)</f>
        <v>67.83</v>
      </c>
      <c r="G353" s="49">
        <f t="shared" si="24"/>
        <v>36259.57</v>
      </c>
    </row>
    <row r="354" spans="1:7" s="219" customFormat="1" ht="22.5">
      <c r="A354" s="179"/>
      <c r="B354" s="239" t="s">
        <v>1605</v>
      </c>
      <c r="C354" s="269" t="s">
        <v>1001</v>
      </c>
      <c r="D354" s="210" t="s">
        <v>186</v>
      </c>
      <c r="E354" s="305">
        <v>229.09949999999998</v>
      </c>
      <c r="F354" s="301">
        <v>63.84</v>
      </c>
      <c r="G354" s="306">
        <f t="shared" si="24"/>
        <v>14625.71</v>
      </c>
    </row>
    <row r="355" spans="1:7" s="219" customFormat="1">
      <c r="A355" s="179"/>
      <c r="B355" s="235" t="s">
        <v>726</v>
      </c>
      <c r="C355" s="267" t="s">
        <v>1002</v>
      </c>
      <c r="D355" s="4" t="s">
        <v>186</v>
      </c>
      <c r="E355" s="304">
        <v>534.56549999999993</v>
      </c>
      <c r="F355" s="209">
        <f>VLOOKUP(B355,[2]Plan1!A$1:D$65536,4,FALSE)</f>
        <v>60.07</v>
      </c>
      <c r="G355" s="49">
        <f t="shared" si="24"/>
        <v>32111.34</v>
      </c>
    </row>
    <row r="356" spans="1:7" s="219" customFormat="1" ht="22.5">
      <c r="A356" s="179"/>
      <c r="B356" s="239" t="s">
        <v>1605</v>
      </c>
      <c r="C356" s="269" t="s">
        <v>1003</v>
      </c>
      <c r="D356" s="210" t="s">
        <v>186</v>
      </c>
      <c r="E356" s="305">
        <v>229.09949999999998</v>
      </c>
      <c r="F356" s="301">
        <v>47.96</v>
      </c>
      <c r="G356" s="306">
        <f t="shared" si="24"/>
        <v>10987.61</v>
      </c>
    </row>
    <row r="357" spans="1:7" s="219" customFormat="1" ht="12.75" customHeight="1">
      <c r="A357" s="179"/>
      <c r="B357" s="235" t="s">
        <v>727</v>
      </c>
      <c r="C357" s="267" t="s">
        <v>1004</v>
      </c>
      <c r="D357" s="4" t="s">
        <v>186</v>
      </c>
      <c r="E357" s="304">
        <v>412.37909999999999</v>
      </c>
      <c r="F357" s="209">
        <f>VLOOKUP(B357,[2]Plan1!A$1:D$65536,4,FALSE)</f>
        <v>80.040000000000006</v>
      </c>
      <c r="G357" s="49">
        <f t="shared" si="24"/>
        <v>33006.82</v>
      </c>
    </row>
    <row r="358" spans="1:7" s="219" customFormat="1" ht="12.75" customHeight="1">
      <c r="A358" s="179"/>
      <c r="B358" s="239" t="s">
        <v>1605</v>
      </c>
      <c r="C358" s="269" t="s">
        <v>1005</v>
      </c>
      <c r="D358" s="210" t="s">
        <v>186</v>
      </c>
      <c r="E358" s="305">
        <v>45.819899999999997</v>
      </c>
      <c r="F358" s="301">
        <v>67.55</v>
      </c>
      <c r="G358" s="306">
        <f t="shared" si="24"/>
        <v>3095.13</v>
      </c>
    </row>
    <row r="359" spans="1:7" s="219" customFormat="1" ht="12.75" customHeight="1">
      <c r="A359" s="179"/>
      <c r="B359" s="235" t="s">
        <v>729</v>
      </c>
      <c r="C359" s="267" t="s">
        <v>474</v>
      </c>
      <c r="D359" s="4" t="s">
        <v>185</v>
      </c>
      <c r="E359" s="304">
        <v>1527.33</v>
      </c>
      <c r="F359" s="209">
        <f>VLOOKUP(B359,[2]Plan1!A$1:D$65536,4,FALSE)</f>
        <v>3.08</v>
      </c>
      <c r="G359" s="49">
        <f t="shared" si="24"/>
        <v>4704.17</v>
      </c>
    </row>
    <row r="360" spans="1:7" s="219" customFormat="1" ht="12.75" customHeight="1">
      <c r="A360" s="179"/>
      <c r="B360" s="235" t="s">
        <v>728</v>
      </c>
      <c r="C360" s="267" t="s">
        <v>1006</v>
      </c>
      <c r="D360" s="4" t="s">
        <v>186</v>
      </c>
      <c r="E360" s="304">
        <v>229.09949999999998</v>
      </c>
      <c r="F360" s="209">
        <f>VLOOKUP(B360,[2]Plan1!A$1:D$65536,4,FALSE)</f>
        <v>206.07</v>
      </c>
      <c r="G360" s="49">
        <f t="shared" si="24"/>
        <v>47210.53</v>
      </c>
    </row>
    <row r="361" spans="1:7" s="219" customFormat="1" ht="12.75" customHeight="1">
      <c r="A361" s="179"/>
      <c r="B361" s="235" t="s">
        <v>720</v>
      </c>
      <c r="C361" s="267" t="s">
        <v>1007</v>
      </c>
      <c r="D361" s="4" t="s">
        <v>185</v>
      </c>
      <c r="E361" s="304">
        <v>1527.33</v>
      </c>
      <c r="F361" s="209">
        <f>VLOOKUP(B361,[2]Plan1!A$1:D$65536,4,FALSE)</f>
        <v>1.2</v>
      </c>
      <c r="G361" s="49">
        <f t="shared" si="24"/>
        <v>1832.79</v>
      </c>
    </row>
    <row r="362" spans="1:7" s="219" customFormat="1">
      <c r="A362" s="179"/>
      <c r="B362" s="235" t="s">
        <v>720</v>
      </c>
      <c r="C362" s="267" t="s">
        <v>1008</v>
      </c>
      <c r="D362" s="4" t="s">
        <v>185</v>
      </c>
      <c r="E362" s="304">
        <v>4032</v>
      </c>
      <c r="F362" s="209">
        <f>VLOOKUP(B362,[2]Plan1!A$1:D$65536,4,FALSE)</f>
        <v>1.2</v>
      </c>
      <c r="G362" s="49">
        <f t="shared" si="24"/>
        <v>4838.3999999999996</v>
      </c>
    </row>
    <row r="363" spans="1:7" s="219" customFormat="1">
      <c r="A363" s="179"/>
      <c r="B363" s="238" t="s">
        <v>1603</v>
      </c>
      <c r="C363" s="261" t="s">
        <v>1604</v>
      </c>
      <c r="D363" s="218" t="s">
        <v>185</v>
      </c>
      <c r="E363" s="304">
        <v>1344</v>
      </c>
      <c r="F363" s="209">
        <f>VLOOKUP(B363,[2]Plan1!A$1:D$65536,4,FALSE)</f>
        <v>8.64</v>
      </c>
      <c r="G363" s="49">
        <f>TRUNC(E363*F363,2)</f>
        <v>11612.16</v>
      </c>
    </row>
    <row r="364" spans="1:7" s="219" customFormat="1">
      <c r="A364" s="179"/>
      <c r="B364" s="235" t="s">
        <v>722</v>
      </c>
      <c r="C364" s="267" t="s">
        <v>962</v>
      </c>
      <c r="D364" s="4" t="s">
        <v>186</v>
      </c>
      <c r="E364" s="304">
        <v>53.760000000000005</v>
      </c>
      <c r="F364" s="209">
        <f>VLOOKUP(B364,[2]Plan1!A$1:D$65536,4,FALSE)</f>
        <v>378.64</v>
      </c>
      <c r="G364" s="49">
        <f>TRUNC(E364*F364,2)</f>
        <v>20355.68</v>
      </c>
    </row>
    <row r="365" spans="1:7" s="219" customFormat="1">
      <c r="A365" s="179"/>
      <c r="B365" s="235" t="s">
        <v>721</v>
      </c>
      <c r="C365" s="267" t="s">
        <v>961</v>
      </c>
      <c r="D365" s="4" t="s">
        <v>186</v>
      </c>
      <c r="E365" s="304">
        <v>67.2</v>
      </c>
      <c r="F365" s="209">
        <f>VLOOKUP(B365,[2]Plan1!A$1:D$65536,4,FALSE)</f>
        <v>410.08</v>
      </c>
      <c r="G365" s="49">
        <f>TRUNC(E365*F365,2)</f>
        <v>27557.37</v>
      </c>
    </row>
    <row r="366" spans="1:7" s="219" customFormat="1">
      <c r="A366" s="179"/>
      <c r="B366" s="239" t="s">
        <v>1605</v>
      </c>
      <c r="C366" s="269" t="s">
        <v>1637</v>
      </c>
      <c r="D366" s="210" t="s">
        <v>189</v>
      </c>
      <c r="E366" s="305">
        <v>470</v>
      </c>
      <c r="F366" s="301">
        <v>29.9</v>
      </c>
      <c r="G366" s="306">
        <f>TRUNC(E366*F366,2)</f>
        <v>14053</v>
      </c>
    </row>
    <row r="367" spans="1:7" s="219" customFormat="1">
      <c r="A367" s="179"/>
      <c r="B367" s="235"/>
      <c r="C367" s="270"/>
      <c r="D367" s="44"/>
      <c r="E367" s="307"/>
      <c r="F367" s="49"/>
      <c r="G367" s="209"/>
    </row>
    <row r="368" spans="1:7" s="219" customFormat="1">
      <c r="A368" s="179"/>
      <c r="B368" s="235"/>
      <c r="C368" s="270" t="s">
        <v>1010</v>
      </c>
      <c r="D368" s="44"/>
      <c r="E368" s="307"/>
      <c r="F368" s="49"/>
      <c r="G368" s="209"/>
    </row>
    <row r="369" spans="1:9" s="219" customFormat="1">
      <c r="A369" s="179"/>
      <c r="B369" s="235" t="s">
        <v>724</v>
      </c>
      <c r="C369" s="267" t="s">
        <v>390</v>
      </c>
      <c r="D369" s="4" t="s">
        <v>185</v>
      </c>
      <c r="E369" s="304">
        <v>284.89999999999998</v>
      </c>
      <c r="F369" s="209">
        <f>VLOOKUP(B369,[2]Plan1!A$1:D$65536,4,FALSE)</f>
        <v>0.76</v>
      </c>
      <c r="G369" s="49">
        <f t="shared" ref="G369:G379" si="25">TRUNC(E369*F369,2)</f>
        <v>216.52</v>
      </c>
    </row>
    <row r="370" spans="1:9" s="219" customFormat="1">
      <c r="A370" s="179"/>
      <c r="B370" s="235" t="s">
        <v>725</v>
      </c>
      <c r="C370" s="267" t="s">
        <v>1000</v>
      </c>
      <c r="D370" s="4" t="s">
        <v>186</v>
      </c>
      <c r="E370" s="304">
        <v>99.714999999999989</v>
      </c>
      <c r="F370" s="209">
        <f>VLOOKUP(B370,[2]Plan1!A$1:D$65536,4,FALSE)</f>
        <v>67.83</v>
      </c>
      <c r="G370" s="49">
        <f t="shared" si="25"/>
        <v>6763.66</v>
      </c>
      <c r="I370" s="223"/>
    </row>
    <row r="371" spans="1:9" s="219" customFormat="1" ht="22.5">
      <c r="A371" s="179"/>
      <c r="B371" s="239" t="s">
        <v>1605</v>
      </c>
      <c r="C371" s="269" t="s">
        <v>1001</v>
      </c>
      <c r="D371" s="210" t="s">
        <v>186</v>
      </c>
      <c r="E371" s="305">
        <v>42.734999999999992</v>
      </c>
      <c r="F371" s="301">
        <v>63.84</v>
      </c>
      <c r="G371" s="306">
        <f t="shared" si="25"/>
        <v>2728.2</v>
      </c>
    </row>
    <row r="372" spans="1:9" s="219" customFormat="1">
      <c r="A372" s="179"/>
      <c r="B372" s="235" t="s">
        <v>726</v>
      </c>
      <c r="C372" s="267" t="s">
        <v>1002</v>
      </c>
      <c r="D372" s="4" t="s">
        <v>186</v>
      </c>
      <c r="E372" s="304">
        <v>99.714999999999989</v>
      </c>
      <c r="F372" s="209">
        <f>VLOOKUP(B372,[2]Plan1!A$1:D$65536,4,FALSE)</f>
        <v>60.07</v>
      </c>
      <c r="G372" s="49">
        <f t="shared" si="25"/>
        <v>5989.88</v>
      </c>
    </row>
    <row r="373" spans="1:9" s="219" customFormat="1" ht="22.5">
      <c r="A373" s="179"/>
      <c r="B373" s="239" t="s">
        <v>1605</v>
      </c>
      <c r="C373" s="269" t="s">
        <v>1003</v>
      </c>
      <c r="D373" s="210" t="s">
        <v>186</v>
      </c>
      <c r="E373" s="305">
        <v>42.734999999999992</v>
      </c>
      <c r="F373" s="301">
        <v>47.96</v>
      </c>
      <c r="G373" s="306">
        <f t="shared" si="25"/>
        <v>2049.5700000000002</v>
      </c>
    </row>
    <row r="374" spans="1:9" s="219" customFormat="1" ht="12.75" customHeight="1">
      <c r="A374" s="179"/>
      <c r="B374" s="235" t="s">
        <v>727</v>
      </c>
      <c r="C374" s="267" t="s">
        <v>1004</v>
      </c>
      <c r="D374" s="4" t="s">
        <v>186</v>
      </c>
      <c r="E374" s="304">
        <v>76.922999999999988</v>
      </c>
      <c r="F374" s="209">
        <f>VLOOKUP(B374,[2]Plan1!A$1:D$65536,4,FALSE)</f>
        <v>80.040000000000006</v>
      </c>
      <c r="G374" s="49">
        <f t="shared" si="25"/>
        <v>6156.91</v>
      </c>
    </row>
    <row r="375" spans="1:9" s="219" customFormat="1" ht="12.75" customHeight="1">
      <c r="A375" s="179"/>
      <c r="B375" s="239" t="s">
        <v>1605</v>
      </c>
      <c r="C375" s="269" t="s">
        <v>1005</v>
      </c>
      <c r="D375" s="210" t="s">
        <v>186</v>
      </c>
      <c r="E375" s="305">
        <v>8.5469999999999988</v>
      </c>
      <c r="F375" s="301">
        <v>67.55</v>
      </c>
      <c r="G375" s="306">
        <f t="shared" si="25"/>
        <v>577.34</v>
      </c>
    </row>
    <row r="376" spans="1:9" s="219" customFormat="1" ht="12.75" customHeight="1">
      <c r="A376" s="179"/>
      <c r="B376" s="235" t="s">
        <v>729</v>
      </c>
      <c r="C376" s="267" t="s">
        <v>474</v>
      </c>
      <c r="D376" s="4" t="s">
        <v>185</v>
      </c>
      <c r="E376" s="304">
        <v>284.89999999999998</v>
      </c>
      <c r="F376" s="209">
        <f>VLOOKUP(B376,[2]Plan1!A$1:D$65536,4,FALSE)</f>
        <v>3.08</v>
      </c>
      <c r="G376" s="49">
        <f t="shared" si="25"/>
        <v>877.49</v>
      </c>
    </row>
    <row r="377" spans="1:9" s="219" customFormat="1" ht="12.75" customHeight="1">
      <c r="A377" s="179"/>
      <c r="B377" s="235" t="s">
        <v>728</v>
      </c>
      <c r="C377" s="267" t="s">
        <v>1006</v>
      </c>
      <c r="D377" s="4" t="s">
        <v>186</v>
      </c>
      <c r="E377" s="304">
        <v>42.734999999999992</v>
      </c>
      <c r="F377" s="209">
        <f>VLOOKUP(B377,[2]Plan1!A$1:D$65536,4,FALSE)</f>
        <v>206.07</v>
      </c>
      <c r="G377" s="49">
        <f t="shared" si="25"/>
        <v>8806.4</v>
      </c>
    </row>
    <row r="378" spans="1:9" s="219" customFormat="1" ht="12.75" customHeight="1">
      <c r="A378" s="179"/>
      <c r="B378" s="235" t="s">
        <v>720</v>
      </c>
      <c r="C378" s="267" t="s">
        <v>1007</v>
      </c>
      <c r="D378" s="4" t="s">
        <v>185</v>
      </c>
      <c r="E378" s="304">
        <v>284.89999999999998</v>
      </c>
      <c r="F378" s="209">
        <f>VLOOKUP(B378,[2]Plan1!A$1:D$65536,4,FALSE)</f>
        <v>1.2</v>
      </c>
      <c r="G378" s="49">
        <f t="shared" si="25"/>
        <v>341.88</v>
      </c>
    </row>
    <row r="379" spans="1:9" s="219" customFormat="1">
      <c r="A379" s="179"/>
      <c r="B379" s="235" t="s">
        <v>720</v>
      </c>
      <c r="C379" s="267" t="s">
        <v>1008</v>
      </c>
      <c r="D379" s="4" t="s">
        <v>185</v>
      </c>
      <c r="E379" s="304">
        <v>765.59999999999991</v>
      </c>
      <c r="F379" s="209">
        <f>VLOOKUP(B379,[2]Plan1!A$1:D$65536,4,FALSE)</f>
        <v>1.2</v>
      </c>
      <c r="G379" s="49">
        <f t="shared" si="25"/>
        <v>918.72</v>
      </c>
    </row>
    <row r="380" spans="1:9" s="219" customFormat="1">
      <c r="A380" s="179"/>
      <c r="B380" s="238" t="s">
        <v>1603</v>
      </c>
      <c r="C380" s="261" t="s">
        <v>1604</v>
      </c>
      <c r="D380" s="218" t="s">
        <v>185</v>
      </c>
      <c r="E380" s="304">
        <v>255.2</v>
      </c>
      <c r="F380" s="209">
        <f>VLOOKUP(B380,[2]Plan1!A$1:D$65536,4,FALSE)</f>
        <v>8.64</v>
      </c>
      <c r="G380" s="49">
        <f>TRUNC(E380*F380,2)</f>
        <v>2204.92</v>
      </c>
    </row>
    <row r="381" spans="1:9" s="219" customFormat="1">
      <c r="A381" s="179"/>
      <c r="B381" s="235" t="s">
        <v>722</v>
      </c>
      <c r="C381" s="267" t="s">
        <v>1644</v>
      </c>
      <c r="D381" s="4" t="s">
        <v>186</v>
      </c>
      <c r="E381" s="304">
        <v>10.208</v>
      </c>
      <c r="F381" s="209">
        <f>VLOOKUP(B381,[2]Plan1!A$1:D$65536,4,FALSE)</f>
        <v>378.64</v>
      </c>
      <c r="G381" s="49">
        <f>TRUNC(E381*F381,2)</f>
        <v>3865.15</v>
      </c>
    </row>
    <row r="382" spans="1:9" s="219" customFormat="1">
      <c r="A382" s="179"/>
      <c r="B382" s="235" t="s">
        <v>721</v>
      </c>
      <c r="C382" s="267" t="s">
        <v>188</v>
      </c>
      <c r="D382" s="4" t="s">
        <v>186</v>
      </c>
      <c r="E382" s="304">
        <v>12.76</v>
      </c>
      <c r="F382" s="209">
        <f>VLOOKUP(B382,[2]Plan1!A$1:D$65536,4,FALSE)</f>
        <v>410.08</v>
      </c>
      <c r="G382" s="49">
        <f>TRUNC(E382*F382,2)</f>
        <v>5232.62</v>
      </c>
    </row>
    <row r="383" spans="1:9" s="219" customFormat="1">
      <c r="A383" s="179"/>
      <c r="B383" s="239" t="s">
        <v>1605</v>
      </c>
      <c r="C383" s="269" t="s">
        <v>1637</v>
      </c>
      <c r="D383" s="210" t="s">
        <v>189</v>
      </c>
      <c r="E383" s="305">
        <v>55</v>
      </c>
      <c r="F383" s="301">
        <v>29.9</v>
      </c>
      <c r="G383" s="306">
        <f>TRUNC(E383*F383,2)</f>
        <v>1644.5</v>
      </c>
    </row>
    <row r="384" spans="1:9" s="219" customFormat="1">
      <c r="A384" s="179"/>
      <c r="B384" s="235"/>
      <c r="C384" s="267"/>
      <c r="D384" s="4"/>
      <c r="E384" s="304"/>
      <c r="F384" s="49"/>
      <c r="G384" s="49"/>
    </row>
    <row r="385" spans="1:10" s="219" customFormat="1">
      <c r="A385" s="179"/>
      <c r="B385" s="235"/>
      <c r="C385" s="270" t="s">
        <v>963</v>
      </c>
      <c r="D385" s="44"/>
      <c r="E385" s="307"/>
      <c r="F385" s="49"/>
      <c r="G385" s="209"/>
    </row>
    <row r="386" spans="1:10" s="219" customFormat="1">
      <c r="A386" s="179"/>
      <c r="B386" s="235"/>
      <c r="C386" s="270" t="s">
        <v>244</v>
      </c>
      <c r="D386" s="44"/>
      <c r="E386" s="307"/>
      <c r="F386" s="49"/>
      <c r="G386" s="209"/>
    </row>
    <row r="387" spans="1:10" s="219" customFormat="1">
      <c r="A387" s="179"/>
      <c r="B387" s="235" t="s">
        <v>724</v>
      </c>
      <c r="C387" s="267" t="s">
        <v>390</v>
      </c>
      <c r="D387" s="4" t="s">
        <v>185</v>
      </c>
      <c r="E387" s="304">
        <v>27361.370000000003</v>
      </c>
      <c r="F387" s="209">
        <f>VLOOKUP(B387,[2]Plan1!A$1:D$65536,4,FALSE)</f>
        <v>0.76</v>
      </c>
      <c r="G387" s="49">
        <f t="shared" ref="G387:G393" si="26">TRUNC(E387*F387,2)</f>
        <v>20794.64</v>
      </c>
      <c r="J387" s="222"/>
    </row>
    <row r="388" spans="1:10" s="219" customFormat="1">
      <c r="A388" s="179"/>
      <c r="B388" s="235" t="s">
        <v>725</v>
      </c>
      <c r="C388" s="267" t="s">
        <v>1000</v>
      </c>
      <c r="D388" s="4" t="s">
        <v>186</v>
      </c>
      <c r="E388" s="304">
        <v>7661.1836000000003</v>
      </c>
      <c r="F388" s="209">
        <f>VLOOKUP(B388,[2]Plan1!A$1:D$65536,4,FALSE)</f>
        <v>67.83</v>
      </c>
      <c r="G388" s="49">
        <f t="shared" si="26"/>
        <v>519658.08</v>
      </c>
      <c r="J388" s="222"/>
    </row>
    <row r="389" spans="1:10" s="219" customFormat="1" ht="22.5">
      <c r="A389" s="179"/>
      <c r="B389" s="239" t="s">
        <v>1605</v>
      </c>
      <c r="C389" s="269" t="s">
        <v>1001</v>
      </c>
      <c r="D389" s="210" t="s">
        <v>186</v>
      </c>
      <c r="E389" s="305">
        <v>3283.3643999999999</v>
      </c>
      <c r="F389" s="301">
        <v>63.84</v>
      </c>
      <c r="G389" s="306">
        <f t="shared" si="26"/>
        <v>209609.98</v>
      </c>
      <c r="H389" s="223"/>
      <c r="J389" s="222"/>
    </row>
    <row r="390" spans="1:10" s="219" customFormat="1">
      <c r="A390" s="179"/>
      <c r="B390" s="235" t="s">
        <v>726</v>
      </c>
      <c r="C390" s="267" t="s">
        <v>1002</v>
      </c>
      <c r="D390" s="4" t="s">
        <v>186</v>
      </c>
      <c r="E390" s="304">
        <v>3830.5918000000001</v>
      </c>
      <c r="F390" s="209">
        <f>VLOOKUP(B390,[2]Plan1!A$1:D$65536,4,FALSE)</f>
        <v>60.07</v>
      </c>
      <c r="G390" s="49">
        <f t="shared" si="26"/>
        <v>230103.64</v>
      </c>
      <c r="J390" s="222"/>
    </row>
    <row r="391" spans="1:10" s="219" customFormat="1" ht="22.5">
      <c r="A391" s="179"/>
      <c r="B391" s="239" t="s">
        <v>1605</v>
      </c>
      <c r="C391" s="269" t="s">
        <v>1003</v>
      </c>
      <c r="D391" s="210" t="s">
        <v>186</v>
      </c>
      <c r="E391" s="305">
        <v>1641.6822</v>
      </c>
      <c r="F391" s="301">
        <v>47.96</v>
      </c>
      <c r="G391" s="306">
        <f t="shared" si="26"/>
        <v>78735.070000000007</v>
      </c>
      <c r="J391" s="222"/>
    </row>
    <row r="392" spans="1:10" s="219" customFormat="1" ht="12.75" customHeight="1">
      <c r="A392" s="179"/>
      <c r="B392" s="235" t="s">
        <v>727</v>
      </c>
      <c r="C392" s="267" t="s">
        <v>1004</v>
      </c>
      <c r="D392" s="4" t="s">
        <v>186</v>
      </c>
      <c r="E392" s="304">
        <v>4925.0466000000006</v>
      </c>
      <c r="F392" s="209">
        <f>VLOOKUP(B392,[2]Plan1!A$1:D$65536,4,FALSE)</f>
        <v>80.040000000000006</v>
      </c>
      <c r="G392" s="49">
        <f t="shared" si="26"/>
        <v>394200.72</v>
      </c>
      <c r="J392" s="222"/>
    </row>
    <row r="393" spans="1:10" s="219" customFormat="1" ht="12.75" customHeight="1">
      <c r="A393" s="179"/>
      <c r="B393" s="239" t="s">
        <v>1605</v>
      </c>
      <c r="C393" s="269" t="s">
        <v>1005</v>
      </c>
      <c r="D393" s="210" t="s">
        <v>186</v>
      </c>
      <c r="E393" s="305">
        <v>547.2274000000001</v>
      </c>
      <c r="F393" s="301">
        <v>67.55</v>
      </c>
      <c r="G393" s="306">
        <f t="shared" si="26"/>
        <v>36965.21</v>
      </c>
      <c r="J393" s="222"/>
    </row>
    <row r="394" spans="1:10" s="219" customFormat="1">
      <c r="A394" s="179"/>
      <c r="B394" s="235" t="s">
        <v>729</v>
      </c>
      <c r="C394" s="267" t="s">
        <v>192</v>
      </c>
      <c r="D394" s="4" t="s">
        <v>185</v>
      </c>
      <c r="E394" s="304">
        <v>27361.370000000003</v>
      </c>
      <c r="F394" s="209">
        <f>VLOOKUP(B394,[2]Plan1!A$1:D$65536,4,FALSE)</f>
        <v>3.08</v>
      </c>
      <c r="G394" s="209">
        <f t="shared" ref="G394:G409" si="27">TRUNC(E394*F394,2)</f>
        <v>84273.01</v>
      </c>
      <c r="J394" s="222"/>
    </row>
    <row r="395" spans="1:10" s="219" customFormat="1">
      <c r="A395" s="179"/>
      <c r="B395" s="235" t="s">
        <v>728</v>
      </c>
      <c r="C395" s="267" t="s">
        <v>444</v>
      </c>
      <c r="D395" s="4" t="s">
        <v>186</v>
      </c>
      <c r="E395" s="304">
        <v>3830.5918000000001</v>
      </c>
      <c r="F395" s="209">
        <f>VLOOKUP(B395,[2]Plan1!A$1:D$65536,4,FALSE)</f>
        <v>206.07</v>
      </c>
      <c r="G395" s="209">
        <f t="shared" si="27"/>
        <v>789370.05</v>
      </c>
      <c r="J395" s="222"/>
    </row>
    <row r="396" spans="1:10" s="219" customFormat="1" ht="11.25" customHeight="1">
      <c r="A396" s="179"/>
      <c r="B396" s="235" t="s">
        <v>720</v>
      </c>
      <c r="C396" s="267" t="s">
        <v>1013</v>
      </c>
      <c r="D396" s="4" t="s">
        <v>185</v>
      </c>
      <c r="E396" s="304">
        <v>27361.370000000003</v>
      </c>
      <c r="F396" s="209">
        <f>VLOOKUP(B396,[2]Plan1!A$1:D$65536,4,FALSE)</f>
        <v>1.2</v>
      </c>
      <c r="G396" s="209">
        <f t="shared" si="27"/>
        <v>32833.64</v>
      </c>
      <c r="J396" s="222"/>
    </row>
    <row r="397" spans="1:10" s="219" customFormat="1" ht="24.95" customHeight="1">
      <c r="A397" s="179"/>
      <c r="B397" s="235" t="s">
        <v>1011</v>
      </c>
      <c r="C397" s="267" t="s">
        <v>1012</v>
      </c>
      <c r="D397" s="4" t="s">
        <v>186</v>
      </c>
      <c r="E397" s="304">
        <v>5843.2716</v>
      </c>
      <c r="F397" s="209">
        <f>VLOOKUP(B397,[2]Plan1!A$1:D$65536,4,FALSE)</f>
        <v>370.93</v>
      </c>
      <c r="G397" s="209">
        <f t="shared" si="27"/>
        <v>2167444.73</v>
      </c>
      <c r="J397" s="222"/>
    </row>
    <row r="398" spans="1:10" s="219" customFormat="1" ht="22.5">
      <c r="A398" s="179"/>
      <c r="B398" s="235" t="s">
        <v>414</v>
      </c>
      <c r="C398" s="267" t="s">
        <v>462</v>
      </c>
      <c r="D398" s="4" t="s">
        <v>246</v>
      </c>
      <c r="E398" s="304">
        <f>TRUNC((E397+E399)*0.6,0)</f>
        <v>3516</v>
      </c>
      <c r="F398" s="173">
        <f>TRUNC(17.5*1.2031,2)</f>
        <v>21.05</v>
      </c>
      <c r="G398" s="209">
        <f t="shared" si="27"/>
        <v>74011.8</v>
      </c>
      <c r="J398" s="222"/>
    </row>
    <row r="399" spans="1:10" s="219" customFormat="1" ht="24.95" customHeight="1">
      <c r="A399" s="179"/>
      <c r="B399" s="235" t="s">
        <v>361</v>
      </c>
      <c r="C399" s="267" t="s">
        <v>412</v>
      </c>
      <c r="D399" s="4" t="s">
        <v>186</v>
      </c>
      <c r="E399" s="304">
        <v>16.8</v>
      </c>
      <c r="F399" s="173">
        <f>VLOOKUP(B399,pav!A:AR,41,FALSE)</f>
        <v>529.79999999999995</v>
      </c>
      <c r="G399" s="209">
        <f t="shared" si="27"/>
        <v>8900.64</v>
      </c>
      <c r="J399" s="222"/>
    </row>
    <row r="400" spans="1:10" s="219" customFormat="1" ht="12.75" customHeight="1">
      <c r="A400" s="179"/>
      <c r="B400" s="235" t="s">
        <v>732</v>
      </c>
      <c r="C400" s="267" t="s">
        <v>500</v>
      </c>
      <c r="D400" s="4" t="s">
        <v>185</v>
      </c>
      <c r="E400" s="304">
        <v>24618.09</v>
      </c>
      <c r="F400" s="209">
        <f>VLOOKUP(B400,[2]Plan1!A$1:D$65536,4,FALSE)</f>
        <v>1.92</v>
      </c>
      <c r="G400" s="209">
        <f t="shared" si="27"/>
        <v>47266.73</v>
      </c>
      <c r="J400" s="222"/>
    </row>
    <row r="401" spans="1:10" s="219" customFormat="1">
      <c r="A401" s="179"/>
      <c r="B401" s="235" t="s">
        <v>731</v>
      </c>
      <c r="C401" s="267" t="s">
        <v>443</v>
      </c>
      <c r="D401" s="4" t="s">
        <v>185</v>
      </c>
      <c r="E401" s="304">
        <v>24618.09</v>
      </c>
      <c r="F401" s="209">
        <f>VLOOKUP(B401,[2]Plan1!A$1:D$65536,4,FALSE)</f>
        <v>3.66</v>
      </c>
      <c r="G401" s="209">
        <f>TRUNC(E401*F401,2)</f>
        <v>90102.2</v>
      </c>
      <c r="J401" s="222"/>
    </row>
    <row r="402" spans="1:10" s="219" customFormat="1" ht="22.5">
      <c r="A402" s="179"/>
      <c r="B402" s="235" t="s">
        <v>733</v>
      </c>
      <c r="C402" s="267" t="s">
        <v>1341</v>
      </c>
      <c r="D402" s="4" t="s">
        <v>189</v>
      </c>
      <c r="E402" s="304">
        <v>4950</v>
      </c>
      <c r="F402" s="209">
        <f>VLOOKUP(B402,[2]Plan1!A$1:D$65536,4,FALSE)</f>
        <v>83.62</v>
      </c>
      <c r="G402" s="209">
        <f t="shared" si="27"/>
        <v>413919</v>
      </c>
      <c r="J402" s="222"/>
    </row>
    <row r="403" spans="1:10" s="219" customFormat="1" ht="24.95" customHeight="1">
      <c r="A403" s="179"/>
      <c r="B403" s="235" t="s">
        <v>734</v>
      </c>
      <c r="C403" s="267" t="s">
        <v>1342</v>
      </c>
      <c r="D403" s="4" t="s">
        <v>189</v>
      </c>
      <c r="E403" s="304">
        <v>5005</v>
      </c>
      <c r="F403" s="209">
        <f>VLOOKUP(B403,[2]Plan1!A$1:D$65536,4,FALSE)</f>
        <v>12.99</v>
      </c>
      <c r="G403" s="209">
        <f t="shared" si="27"/>
        <v>65014.95</v>
      </c>
      <c r="J403" s="222"/>
    </row>
    <row r="404" spans="1:10" s="219" customFormat="1">
      <c r="A404" s="179"/>
      <c r="B404" s="235" t="s">
        <v>357</v>
      </c>
      <c r="C404" s="267" t="s">
        <v>394</v>
      </c>
      <c r="D404" s="4" t="s">
        <v>189</v>
      </c>
      <c r="E404" s="304">
        <v>22</v>
      </c>
      <c r="F404" s="173">
        <f>VLOOKUP(B404,pav!A:AR,41,FALSE)</f>
        <v>805.5</v>
      </c>
      <c r="G404" s="209">
        <f t="shared" si="27"/>
        <v>17721</v>
      </c>
      <c r="J404" s="222"/>
    </row>
    <row r="405" spans="1:10" s="219" customFormat="1">
      <c r="A405" s="179"/>
      <c r="B405" s="235" t="s">
        <v>284</v>
      </c>
      <c r="C405" s="267" t="s">
        <v>391</v>
      </c>
      <c r="D405" s="4" t="s">
        <v>189</v>
      </c>
      <c r="E405" s="304">
        <v>5940</v>
      </c>
      <c r="F405" s="173">
        <f>VLOOKUP(B405,pav!A:AR,41,FALSE)</f>
        <v>11.67</v>
      </c>
      <c r="G405" s="209">
        <f t="shared" si="27"/>
        <v>69319.8</v>
      </c>
      <c r="J405" s="222"/>
    </row>
    <row r="406" spans="1:10" s="219" customFormat="1">
      <c r="A406" s="179"/>
      <c r="B406" s="239" t="s">
        <v>1605</v>
      </c>
      <c r="C406" s="269" t="s">
        <v>1637</v>
      </c>
      <c r="D406" s="210" t="s">
        <v>189</v>
      </c>
      <c r="E406" s="305">
        <v>4255</v>
      </c>
      <c r="F406" s="301">
        <v>29.9</v>
      </c>
      <c r="G406" s="301">
        <f t="shared" si="27"/>
        <v>127224.5</v>
      </c>
      <c r="J406" s="222"/>
    </row>
    <row r="407" spans="1:10" s="219" customFormat="1">
      <c r="A407" s="179"/>
      <c r="B407" s="239" t="s">
        <v>1605</v>
      </c>
      <c r="C407" s="269" t="s">
        <v>1638</v>
      </c>
      <c r="D407" s="210" t="s">
        <v>189</v>
      </c>
      <c r="E407" s="305">
        <v>1685</v>
      </c>
      <c r="F407" s="301">
        <v>29.9</v>
      </c>
      <c r="G407" s="306">
        <f t="shared" si="27"/>
        <v>50381.5</v>
      </c>
      <c r="J407" s="222"/>
    </row>
    <row r="408" spans="1:10" s="219" customFormat="1">
      <c r="A408" s="179"/>
      <c r="B408" s="235" t="s">
        <v>723</v>
      </c>
      <c r="C408" s="267" t="s">
        <v>1569</v>
      </c>
      <c r="D408" s="4" t="s">
        <v>186</v>
      </c>
      <c r="E408" s="304">
        <v>168</v>
      </c>
      <c r="F408" s="209">
        <f>VLOOKUP(B408,[2]Plan1!A$1:D$65536,4,FALSE)</f>
        <v>113.93</v>
      </c>
      <c r="G408" s="209">
        <f t="shared" si="27"/>
        <v>19140.240000000002</v>
      </c>
      <c r="J408" s="222"/>
    </row>
    <row r="409" spans="1:10" s="219" customFormat="1">
      <c r="A409" s="179"/>
      <c r="B409" s="235" t="s">
        <v>475</v>
      </c>
      <c r="C409" s="267" t="s">
        <v>1570</v>
      </c>
      <c r="D409" s="4" t="s">
        <v>185</v>
      </c>
      <c r="E409" s="304">
        <v>168</v>
      </c>
      <c r="F409" s="209">
        <f>VLOOKUP(B409,[1]Plan1!A$1:D$65536,4,FALSE)</f>
        <v>3.63</v>
      </c>
      <c r="G409" s="209">
        <f t="shared" si="27"/>
        <v>609.84</v>
      </c>
      <c r="J409" s="222"/>
    </row>
    <row r="410" spans="1:10">
      <c r="A410" s="50" t="s">
        <v>588</v>
      </c>
      <c r="B410" s="235"/>
      <c r="C410" s="270" t="s">
        <v>143</v>
      </c>
      <c r="D410" s="44"/>
      <c r="E410" s="307"/>
      <c r="F410" s="297"/>
      <c r="G410" s="296">
        <f>SUM(G170:G409)</f>
        <v>18667544.310000006</v>
      </c>
    </row>
    <row r="411" spans="1:10">
      <c r="A411" s="50"/>
      <c r="B411" s="235"/>
      <c r="C411" s="270"/>
      <c r="D411" s="44"/>
      <c r="E411" s="307"/>
      <c r="F411" s="297"/>
      <c r="G411" s="296"/>
    </row>
    <row r="412" spans="1:10" ht="12.75" customHeight="1">
      <c r="A412" s="51">
        <v>4</v>
      </c>
      <c r="B412" s="233">
        <v>4</v>
      </c>
      <c r="C412" s="254" t="s">
        <v>265</v>
      </c>
      <c r="D412" s="170"/>
      <c r="E412" s="178"/>
      <c r="F412" s="178"/>
      <c r="G412" s="178"/>
    </row>
    <row r="413" spans="1:10">
      <c r="A413" s="51"/>
      <c r="B413" s="234" t="s">
        <v>600</v>
      </c>
      <c r="C413" s="270" t="s">
        <v>1527</v>
      </c>
      <c r="D413" s="44"/>
      <c r="E413" s="307"/>
      <c r="F413" s="297"/>
      <c r="G413" s="209"/>
    </row>
    <row r="414" spans="1:10">
      <c r="A414" s="50"/>
      <c r="B414" s="235" t="s">
        <v>735</v>
      </c>
      <c r="C414" s="257" t="s">
        <v>111</v>
      </c>
      <c r="D414" s="9" t="s">
        <v>186</v>
      </c>
      <c r="E414" s="303">
        <v>5922</v>
      </c>
      <c r="F414" s="297">
        <f>VLOOKUP(B414,[2]Plan1!A$1:D$65536,4,FALSE)</f>
        <v>7.19</v>
      </c>
      <c r="G414" s="297">
        <f t="shared" ref="G414:G437" si="28">TRUNC(E414*F414,2)</f>
        <v>42579.18</v>
      </c>
    </row>
    <row r="415" spans="1:10">
      <c r="A415" s="50"/>
      <c r="B415" s="235" t="s">
        <v>736</v>
      </c>
      <c r="C415" s="257" t="s">
        <v>112</v>
      </c>
      <c r="D415" s="9" t="s">
        <v>186</v>
      </c>
      <c r="E415" s="303">
        <v>3948</v>
      </c>
      <c r="F415" s="297">
        <f>VLOOKUP(B415,[2]Plan1!A$1:D$65536,4,FALSE)</f>
        <v>4.8</v>
      </c>
      <c r="G415" s="297">
        <f t="shared" si="28"/>
        <v>18950.400000000001</v>
      </c>
    </row>
    <row r="416" spans="1:10">
      <c r="A416" s="50"/>
      <c r="B416" s="235" t="s">
        <v>737</v>
      </c>
      <c r="C416" s="253" t="s">
        <v>341</v>
      </c>
      <c r="D416" s="1" t="s">
        <v>186</v>
      </c>
      <c r="E416" s="209">
        <v>1974</v>
      </c>
      <c r="F416" s="297">
        <f>VLOOKUP(B416,[2]Plan1!A$1:D$65536,4,FALSE)</f>
        <v>1.1299999999999999</v>
      </c>
      <c r="G416" s="297">
        <f t="shared" si="28"/>
        <v>2230.62</v>
      </c>
    </row>
    <row r="417" spans="1:7">
      <c r="A417" s="50"/>
      <c r="B417" s="235" t="s">
        <v>738</v>
      </c>
      <c r="C417" s="257" t="s">
        <v>594</v>
      </c>
      <c r="D417" s="9" t="s">
        <v>189</v>
      </c>
      <c r="E417" s="303">
        <v>64</v>
      </c>
      <c r="F417" s="297">
        <f>VLOOKUP(B417,[2]Plan1!A$1:D$65536,4,FALSE)</f>
        <v>1622.15</v>
      </c>
      <c r="G417" s="297">
        <f t="shared" si="28"/>
        <v>103817.60000000001</v>
      </c>
    </row>
    <row r="418" spans="1:7">
      <c r="A418" s="50"/>
      <c r="B418" s="235" t="s">
        <v>740</v>
      </c>
      <c r="C418" s="257" t="s">
        <v>596</v>
      </c>
      <c r="D418" s="9" t="s">
        <v>194</v>
      </c>
      <c r="E418" s="303">
        <v>2</v>
      </c>
      <c r="F418" s="297">
        <f>VLOOKUP(B418,[2]Plan1!A$1:D$65536,4,FALSE)</f>
        <v>3544.25</v>
      </c>
      <c r="G418" s="297">
        <f t="shared" si="28"/>
        <v>7088.5</v>
      </c>
    </row>
    <row r="419" spans="1:7">
      <c r="A419" s="50"/>
      <c r="B419" s="235" t="s">
        <v>712</v>
      </c>
      <c r="C419" s="252" t="s">
        <v>118</v>
      </c>
      <c r="D419" s="9" t="s">
        <v>186</v>
      </c>
      <c r="E419" s="303">
        <v>62</v>
      </c>
      <c r="F419" s="297">
        <f>VLOOKUP(B419,[2]Plan1!A$1:D$65536,4,FALSE)</f>
        <v>82.27</v>
      </c>
      <c r="G419" s="297">
        <f t="shared" si="28"/>
        <v>5100.74</v>
      </c>
    </row>
    <row r="420" spans="1:7">
      <c r="A420" s="50"/>
      <c r="B420" s="235" t="s">
        <v>780</v>
      </c>
      <c r="C420" s="252" t="s">
        <v>119</v>
      </c>
      <c r="D420" s="9" t="s">
        <v>186</v>
      </c>
      <c r="E420" s="303">
        <v>20</v>
      </c>
      <c r="F420" s="297">
        <f>VLOOKUP(B420,[2]Plan1!A$1:D$65536,4,FALSE)</f>
        <v>83.23</v>
      </c>
      <c r="G420" s="297">
        <f t="shared" si="28"/>
        <v>1664.6</v>
      </c>
    </row>
    <row r="421" spans="1:7">
      <c r="A421" s="50"/>
      <c r="B421" s="235" t="s">
        <v>770</v>
      </c>
      <c r="C421" s="253" t="s">
        <v>286</v>
      </c>
      <c r="D421" s="1" t="s">
        <v>185</v>
      </c>
      <c r="E421" s="209">
        <v>2914</v>
      </c>
      <c r="F421" s="297">
        <f>VLOOKUP(B421,[2]Plan1!A$1:D$65536,4,FALSE)</f>
        <v>43.36</v>
      </c>
      <c r="G421" s="297">
        <f t="shared" si="28"/>
        <v>126351.03999999999</v>
      </c>
    </row>
    <row r="422" spans="1:7">
      <c r="A422" s="50"/>
      <c r="B422" s="235" t="s">
        <v>429</v>
      </c>
      <c r="C422" s="252" t="s">
        <v>598</v>
      </c>
      <c r="D422" s="9" t="s">
        <v>194</v>
      </c>
      <c r="E422" s="303">
        <v>2</v>
      </c>
      <c r="F422" s="93">
        <f>VLOOKUP(B422,dre!A:AR,41,FALSE)</f>
        <v>6110.04</v>
      </c>
      <c r="G422" s="297">
        <f t="shared" si="28"/>
        <v>12220.08</v>
      </c>
    </row>
    <row r="423" spans="1:7">
      <c r="A423" s="50"/>
      <c r="B423" s="235" t="s">
        <v>438</v>
      </c>
      <c r="C423" s="252" t="s">
        <v>599</v>
      </c>
      <c r="D423" s="28" t="s">
        <v>194</v>
      </c>
      <c r="E423" s="303">
        <v>1</v>
      </c>
      <c r="F423" s="93">
        <f>VLOOKUP(B423,dre!A:AR,41,FALSE)</f>
        <v>6815.95</v>
      </c>
      <c r="G423" s="297">
        <f t="shared" si="28"/>
        <v>6815.95</v>
      </c>
    </row>
    <row r="424" spans="1:7">
      <c r="A424" s="50"/>
      <c r="B424" s="235" t="s">
        <v>239</v>
      </c>
      <c r="C424" s="252" t="s">
        <v>622</v>
      </c>
      <c r="D424" s="28" t="s">
        <v>189</v>
      </c>
      <c r="E424" s="303">
        <v>30</v>
      </c>
      <c r="F424" s="209">
        <f>TRUNC(5959*1.2031,2)</f>
        <v>7169.27</v>
      </c>
      <c r="G424" s="297">
        <f t="shared" si="28"/>
        <v>215078.1</v>
      </c>
    </row>
    <row r="425" spans="1:7">
      <c r="A425" s="50"/>
      <c r="B425" s="235" t="s">
        <v>239</v>
      </c>
      <c r="C425" s="252" t="s">
        <v>623</v>
      </c>
      <c r="D425" s="28" t="s">
        <v>189</v>
      </c>
      <c r="E425" s="303">
        <v>47</v>
      </c>
      <c r="F425" s="209">
        <f>TRUNC(6401*1.2031,2)</f>
        <v>7701.04</v>
      </c>
      <c r="G425" s="297">
        <f t="shared" si="28"/>
        <v>361948.88</v>
      </c>
    </row>
    <row r="426" spans="1:7">
      <c r="A426" s="50"/>
      <c r="B426" s="235" t="s">
        <v>239</v>
      </c>
      <c r="C426" s="252" t="s">
        <v>624</v>
      </c>
      <c r="D426" s="28" t="s">
        <v>189</v>
      </c>
      <c r="E426" s="209">
        <v>64</v>
      </c>
      <c r="F426" s="209">
        <f>TRUNC(7642*1.2031,2)</f>
        <v>9194.09</v>
      </c>
      <c r="G426" s="297">
        <f t="shared" si="28"/>
        <v>588421.76</v>
      </c>
    </row>
    <row r="427" spans="1:7">
      <c r="A427" s="50"/>
      <c r="B427" s="235" t="s">
        <v>451</v>
      </c>
      <c r="C427" s="253" t="s">
        <v>625</v>
      </c>
      <c r="D427" s="1" t="s">
        <v>194</v>
      </c>
      <c r="E427" s="209">
        <v>2</v>
      </c>
      <c r="F427" s="93">
        <f>VLOOKUP(B427,dre!A:AR,41,FALSE)</f>
        <v>25501.079999999998</v>
      </c>
      <c r="G427" s="297">
        <f t="shared" si="28"/>
        <v>51002.16</v>
      </c>
    </row>
    <row r="428" spans="1:7">
      <c r="A428" s="50"/>
      <c r="B428" s="235" t="s">
        <v>452</v>
      </c>
      <c r="C428" s="253" t="s">
        <v>626</v>
      </c>
      <c r="D428" s="1" t="s">
        <v>194</v>
      </c>
      <c r="E428" s="209">
        <v>2</v>
      </c>
      <c r="F428" s="93">
        <f>VLOOKUP(B428,dre!A:AR,41,FALSE)</f>
        <v>26393.809999999998</v>
      </c>
      <c r="G428" s="297">
        <f t="shared" si="28"/>
        <v>52787.62</v>
      </c>
    </row>
    <row r="429" spans="1:7">
      <c r="A429" s="50"/>
      <c r="B429" s="235" t="s">
        <v>857</v>
      </c>
      <c r="C429" s="253" t="s">
        <v>1524</v>
      </c>
      <c r="D429" s="1" t="s">
        <v>186</v>
      </c>
      <c r="E429" s="209">
        <v>77</v>
      </c>
      <c r="F429" s="93">
        <v>301.73</v>
      </c>
      <c r="G429" s="297">
        <f t="shared" si="28"/>
        <v>23233.21</v>
      </c>
    </row>
    <row r="430" spans="1:7">
      <c r="A430" s="50"/>
      <c r="B430" s="235" t="s">
        <v>726</v>
      </c>
      <c r="C430" s="253" t="s">
        <v>1571</v>
      </c>
      <c r="D430" s="1" t="s">
        <v>186</v>
      </c>
      <c r="E430" s="209">
        <v>769</v>
      </c>
      <c r="F430" s="93">
        <v>60.07</v>
      </c>
      <c r="G430" s="297">
        <f t="shared" si="28"/>
        <v>46193.83</v>
      </c>
    </row>
    <row r="431" spans="1:7">
      <c r="A431" s="50"/>
      <c r="B431" s="235" t="s">
        <v>1572</v>
      </c>
      <c r="C431" s="253" t="s">
        <v>1525</v>
      </c>
      <c r="D431" s="1" t="s">
        <v>186</v>
      </c>
      <c r="E431" s="209">
        <v>14.000000000000004</v>
      </c>
      <c r="F431" s="93">
        <v>142.69999999999999</v>
      </c>
      <c r="G431" s="297">
        <f t="shared" si="28"/>
        <v>1997.8</v>
      </c>
    </row>
    <row r="432" spans="1:7" s="219" customFormat="1">
      <c r="A432" s="179"/>
      <c r="B432" s="236" t="s">
        <v>1621</v>
      </c>
      <c r="C432" s="261" t="s">
        <v>1622</v>
      </c>
      <c r="D432" s="218" t="s">
        <v>186</v>
      </c>
      <c r="E432" s="49">
        <f>E431*1.5</f>
        <v>21.000000000000007</v>
      </c>
      <c r="F432" s="209">
        <f>VLOOKUP(B432,[2]Plan1!A$1:D$65536,4,FALSE)</f>
        <v>1.1299999999999999</v>
      </c>
      <c r="G432" s="49">
        <f>TRUNC(E432*F432,2)</f>
        <v>23.73</v>
      </c>
    </row>
    <row r="433" spans="1:8" s="219" customFormat="1" ht="22.5">
      <c r="A433" s="179"/>
      <c r="B433" s="235" t="s">
        <v>718</v>
      </c>
      <c r="C433" s="262" t="s">
        <v>1624</v>
      </c>
      <c r="D433" s="4" t="s">
        <v>1319</v>
      </c>
      <c r="E433" s="49">
        <f>E432*37.7</f>
        <v>791.70000000000027</v>
      </c>
      <c r="F433" s="209">
        <f>VLOOKUP(B433,[2]Plan1!A$1:D$65536,4,FALSE)</f>
        <v>0.56999999999999995</v>
      </c>
      <c r="G433" s="49">
        <f>TRUNC(E433*F433,2)</f>
        <v>451.26</v>
      </c>
    </row>
    <row r="434" spans="1:8">
      <c r="A434" s="50"/>
      <c r="B434" s="235" t="s">
        <v>1573</v>
      </c>
      <c r="C434" s="253" t="s">
        <v>1526</v>
      </c>
      <c r="D434" s="1" t="s">
        <v>186</v>
      </c>
      <c r="E434" s="209">
        <v>65</v>
      </c>
      <c r="F434" s="93">
        <v>311.35000000000002</v>
      </c>
      <c r="G434" s="297">
        <f t="shared" si="28"/>
        <v>20237.75</v>
      </c>
    </row>
    <row r="435" spans="1:8" s="219" customFormat="1">
      <c r="A435" s="179"/>
      <c r="B435" s="236" t="s">
        <v>1621</v>
      </c>
      <c r="C435" s="261" t="s">
        <v>1622</v>
      </c>
      <c r="D435" s="218" t="s">
        <v>186</v>
      </c>
      <c r="E435" s="49">
        <f>E434*1.5</f>
        <v>97.5</v>
      </c>
      <c r="F435" s="209">
        <f>VLOOKUP(B435,[2]Plan1!A$1:D$65536,4,FALSE)</f>
        <v>1.1299999999999999</v>
      </c>
      <c r="G435" s="49">
        <f>TRUNC(E435*F435,2)</f>
        <v>110.17</v>
      </c>
    </row>
    <row r="436" spans="1:8" s="219" customFormat="1" ht="22.5">
      <c r="A436" s="179"/>
      <c r="B436" s="235" t="s">
        <v>718</v>
      </c>
      <c r="C436" s="262" t="s">
        <v>1624</v>
      </c>
      <c r="D436" s="4" t="s">
        <v>1319</v>
      </c>
      <c r="E436" s="49">
        <f>E435*37.7</f>
        <v>3675.7500000000005</v>
      </c>
      <c r="F436" s="209">
        <f>VLOOKUP(B436,[2]Plan1!A$1:D$65536,4,FALSE)</f>
        <v>0.56999999999999995</v>
      </c>
      <c r="G436" s="49">
        <f>TRUNC(E436*F436,2)</f>
        <v>2095.17</v>
      </c>
    </row>
    <row r="437" spans="1:8">
      <c r="A437" s="50"/>
      <c r="B437" s="235" t="s">
        <v>1618</v>
      </c>
      <c r="C437" s="252" t="s">
        <v>1619</v>
      </c>
      <c r="D437" s="9" t="s">
        <v>189</v>
      </c>
      <c r="E437" s="209">
        <v>189</v>
      </c>
      <c r="F437" s="93">
        <v>9.5</v>
      </c>
      <c r="G437" s="209">
        <f t="shared" si="28"/>
        <v>1795.5</v>
      </c>
      <c r="H437" s="224"/>
    </row>
    <row r="438" spans="1:8">
      <c r="A438" s="50" t="s">
        <v>601</v>
      </c>
      <c r="B438" s="235"/>
      <c r="C438" s="256" t="s">
        <v>886</v>
      </c>
      <c r="D438" s="1"/>
      <c r="E438" s="208"/>
      <c r="F438" s="308"/>
      <c r="G438" s="296">
        <f>SUM(G414:G437)</f>
        <v>1692195.6500000001</v>
      </c>
    </row>
    <row r="439" spans="1:8">
      <c r="A439" s="50"/>
      <c r="B439" s="234" t="s">
        <v>602</v>
      </c>
      <c r="C439" s="270" t="s">
        <v>1528</v>
      </c>
      <c r="D439" s="1"/>
      <c r="E439" s="208"/>
      <c r="F439" s="308"/>
      <c r="G439" s="296"/>
    </row>
    <row r="440" spans="1:8" ht="12.75" customHeight="1">
      <c r="A440" s="50"/>
      <c r="B440" s="235" t="s">
        <v>735</v>
      </c>
      <c r="C440" s="257" t="s">
        <v>111</v>
      </c>
      <c r="D440" s="9" t="s">
        <v>186</v>
      </c>
      <c r="E440" s="303">
        <v>9474</v>
      </c>
      <c r="F440" s="297">
        <f>VLOOKUP(B440,[2]Plan1!A$1:D$65536,4,FALSE)</f>
        <v>7.19</v>
      </c>
      <c r="G440" s="297">
        <f t="shared" ref="G440:G480" si="29">TRUNC(E440*F440,2)</f>
        <v>68118.06</v>
      </c>
    </row>
    <row r="441" spans="1:8">
      <c r="A441" s="50"/>
      <c r="B441" s="235" t="s">
        <v>736</v>
      </c>
      <c r="C441" s="257" t="s">
        <v>112</v>
      </c>
      <c r="D441" s="9" t="s">
        <v>186</v>
      </c>
      <c r="E441" s="303">
        <v>6316</v>
      </c>
      <c r="F441" s="297">
        <f>VLOOKUP(B441,[2]Plan1!A$1:D$65536,4,FALSE)</f>
        <v>4.8</v>
      </c>
      <c r="G441" s="297">
        <f t="shared" si="29"/>
        <v>30316.799999999999</v>
      </c>
    </row>
    <row r="442" spans="1:8">
      <c r="A442" s="50"/>
      <c r="B442" s="235" t="s">
        <v>737</v>
      </c>
      <c r="C442" s="253" t="s">
        <v>341</v>
      </c>
      <c r="D442" s="1" t="s">
        <v>186</v>
      </c>
      <c r="E442" s="209">
        <v>3158</v>
      </c>
      <c r="F442" s="297">
        <f>VLOOKUP(B442,[2]Plan1!A$1:D$65536,4,FALSE)</f>
        <v>1.1299999999999999</v>
      </c>
      <c r="G442" s="297">
        <f t="shared" si="29"/>
        <v>3568.54</v>
      </c>
    </row>
    <row r="443" spans="1:8" ht="12.75" customHeight="1">
      <c r="A443" s="50"/>
      <c r="B443" s="235" t="s">
        <v>743</v>
      </c>
      <c r="C443" s="257" t="s">
        <v>379</v>
      </c>
      <c r="D443" s="9" t="s">
        <v>189</v>
      </c>
      <c r="E443" s="303">
        <v>1104</v>
      </c>
      <c r="F443" s="297">
        <f>VLOOKUP(B443,[2]Plan1!A$1:D$65536,4,FALSE)</f>
        <v>32.950000000000003</v>
      </c>
      <c r="G443" s="297">
        <f t="shared" si="29"/>
        <v>36376.800000000003</v>
      </c>
    </row>
    <row r="444" spans="1:8" ht="22.5">
      <c r="A444" s="50"/>
      <c r="B444" s="235" t="s">
        <v>744</v>
      </c>
      <c r="C444" s="257" t="s">
        <v>380</v>
      </c>
      <c r="D444" s="9" t="s">
        <v>189</v>
      </c>
      <c r="E444" s="303">
        <v>1790</v>
      </c>
      <c r="F444" s="297">
        <f>VLOOKUP(B444,[2]Plan1!A$1:D$65536,4,FALSE)</f>
        <v>50.52</v>
      </c>
      <c r="G444" s="297">
        <f t="shared" si="29"/>
        <v>90430.8</v>
      </c>
    </row>
    <row r="445" spans="1:8" ht="12.75" customHeight="1">
      <c r="A445" s="50"/>
      <c r="B445" s="235" t="s">
        <v>745</v>
      </c>
      <c r="C445" s="257" t="s">
        <v>381</v>
      </c>
      <c r="D445" s="9" t="s">
        <v>189</v>
      </c>
      <c r="E445" s="303">
        <v>714</v>
      </c>
      <c r="F445" s="297">
        <f>VLOOKUP(B445,[2]Plan1!A$1:D$65536,4,FALSE)</f>
        <v>59.51</v>
      </c>
      <c r="G445" s="297">
        <f t="shared" si="29"/>
        <v>42490.14</v>
      </c>
    </row>
    <row r="446" spans="1:8">
      <c r="A446" s="50"/>
      <c r="B446" s="235" t="s">
        <v>746</v>
      </c>
      <c r="C446" s="257" t="s">
        <v>382</v>
      </c>
      <c r="D446" s="9" t="s">
        <v>189</v>
      </c>
      <c r="E446" s="303">
        <v>75</v>
      </c>
      <c r="F446" s="297">
        <f>VLOOKUP(B446,[2]Plan1!A$1:D$65536,4,FALSE)</f>
        <v>92.95</v>
      </c>
      <c r="G446" s="297">
        <f t="shared" si="29"/>
        <v>6971.25</v>
      </c>
    </row>
    <row r="447" spans="1:8" ht="12.75" customHeight="1">
      <c r="A447" s="50"/>
      <c r="B447" s="235" t="s">
        <v>747</v>
      </c>
      <c r="C447" s="257" t="s">
        <v>383</v>
      </c>
      <c r="D447" s="9" t="s">
        <v>189</v>
      </c>
      <c r="E447" s="303">
        <v>214</v>
      </c>
      <c r="F447" s="297">
        <f>VLOOKUP(B447,[2]Plan1!A$1:D$65536,4,FALSE)</f>
        <v>141.83000000000001</v>
      </c>
      <c r="G447" s="297">
        <f t="shared" si="29"/>
        <v>30351.62</v>
      </c>
    </row>
    <row r="448" spans="1:8" ht="12.75" customHeight="1">
      <c r="A448" s="50"/>
      <c r="B448" s="235" t="s">
        <v>748</v>
      </c>
      <c r="C448" s="257" t="s">
        <v>385</v>
      </c>
      <c r="D448" s="9" t="s">
        <v>189</v>
      </c>
      <c r="E448" s="303">
        <v>63</v>
      </c>
      <c r="F448" s="297">
        <f>VLOOKUP(B448,[2]Plan1!A$1:D$65536,4,FALSE)</f>
        <v>218.33</v>
      </c>
      <c r="G448" s="297">
        <f t="shared" si="29"/>
        <v>13754.79</v>
      </c>
    </row>
    <row r="449" spans="1:7">
      <c r="A449" s="50"/>
      <c r="B449" s="235" t="s">
        <v>749</v>
      </c>
      <c r="C449" s="257" t="s">
        <v>387</v>
      </c>
      <c r="D449" s="9" t="s">
        <v>189</v>
      </c>
      <c r="E449" s="303">
        <v>73</v>
      </c>
      <c r="F449" s="297">
        <f>VLOOKUP(B449,[2]Plan1!A$1:D$65536,4,FALSE)</f>
        <v>319.16000000000003</v>
      </c>
      <c r="G449" s="297">
        <f t="shared" si="29"/>
        <v>23298.68</v>
      </c>
    </row>
    <row r="450" spans="1:7" ht="12.75" customHeight="1">
      <c r="A450" s="50"/>
      <c r="B450" s="235" t="s">
        <v>750</v>
      </c>
      <c r="C450" s="257" t="s">
        <v>448</v>
      </c>
      <c r="D450" s="9" t="s">
        <v>189</v>
      </c>
      <c r="E450" s="303">
        <v>368</v>
      </c>
      <c r="F450" s="297">
        <f>VLOOKUP(B450,[2]Plan1!A$1:D$65536,4,FALSE)</f>
        <v>459.88</v>
      </c>
      <c r="G450" s="297">
        <f t="shared" si="29"/>
        <v>169235.84</v>
      </c>
    </row>
    <row r="451" spans="1:7">
      <c r="A451" s="50"/>
      <c r="B451" s="235" t="s">
        <v>751</v>
      </c>
      <c r="C451" s="257" t="s">
        <v>388</v>
      </c>
      <c r="D451" s="9" t="s">
        <v>189</v>
      </c>
      <c r="E451" s="303">
        <v>59</v>
      </c>
      <c r="F451" s="297">
        <f>VLOOKUP(B451,[2]Plan1!A$1:D$65536,4,FALSE)</f>
        <v>561.07000000000005</v>
      </c>
      <c r="G451" s="297">
        <f t="shared" si="29"/>
        <v>33103.129999999997</v>
      </c>
    </row>
    <row r="452" spans="1:7">
      <c r="A452" s="50"/>
      <c r="B452" s="235" t="s">
        <v>738</v>
      </c>
      <c r="C452" s="257" t="s">
        <v>594</v>
      </c>
      <c r="D452" s="9" t="s">
        <v>189</v>
      </c>
      <c r="E452" s="303">
        <v>154</v>
      </c>
      <c r="F452" s="297">
        <f>VLOOKUP(B452,[2]Plan1!A$1:D$65536,4,FALSE)</f>
        <v>1622.15</v>
      </c>
      <c r="G452" s="297">
        <f t="shared" si="29"/>
        <v>249811.1</v>
      </c>
    </row>
    <row r="453" spans="1:7">
      <c r="A453" s="50"/>
      <c r="B453" s="235" t="s">
        <v>739</v>
      </c>
      <c r="C453" s="257" t="s">
        <v>595</v>
      </c>
      <c r="D453" s="9" t="s">
        <v>189</v>
      </c>
      <c r="E453" s="303">
        <v>123</v>
      </c>
      <c r="F453" s="297">
        <f>VLOOKUP(B453,[2]Plan1!A$1:D$65536,4,FALSE)</f>
        <v>2022.56</v>
      </c>
      <c r="G453" s="297">
        <f t="shared" si="29"/>
        <v>248774.88</v>
      </c>
    </row>
    <row r="454" spans="1:7">
      <c r="A454" s="50"/>
      <c r="B454" s="235" t="s">
        <v>752</v>
      </c>
      <c r="C454" s="257" t="s">
        <v>389</v>
      </c>
      <c r="D454" s="9" t="s">
        <v>194</v>
      </c>
      <c r="E454" s="303">
        <v>85</v>
      </c>
      <c r="F454" s="297">
        <f>VLOOKUP(B454,[2]Plan1!A$1:D$65536,4,FALSE)</f>
        <v>598.96</v>
      </c>
      <c r="G454" s="297">
        <f t="shared" si="29"/>
        <v>50911.6</v>
      </c>
    </row>
    <row r="455" spans="1:7">
      <c r="A455" s="50"/>
      <c r="B455" s="235" t="s">
        <v>753</v>
      </c>
      <c r="C455" s="257" t="s">
        <v>113</v>
      </c>
      <c r="D455" s="9" t="s">
        <v>194</v>
      </c>
      <c r="E455" s="303">
        <v>2</v>
      </c>
      <c r="F455" s="297">
        <f>VLOOKUP(B455,[2]Plan1!A$1:D$65536,4,FALSE)</f>
        <v>950.52</v>
      </c>
      <c r="G455" s="297">
        <f t="shared" si="29"/>
        <v>1901.04</v>
      </c>
    </row>
    <row r="456" spans="1:7" ht="22.5">
      <c r="A456" s="50"/>
      <c r="B456" s="287" t="s">
        <v>1605</v>
      </c>
      <c r="C456" s="288" t="s">
        <v>342</v>
      </c>
      <c r="D456" s="289" t="s">
        <v>194</v>
      </c>
      <c r="E456" s="309">
        <v>2</v>
      </c>
      <c r="F456" s="290">
        <v>1037.6400000000001</v>
      </c>
      <c r="G456" s="302">
        <f t="shared" si="29"/>
        <v>2075.2800000000002</v>
      </c>
    </row>
    <row r="457" spans="1:7" ht="23.1" customHeight="1">
      <c r="A457" s="50"/>
      <c r="B457" s="287" t="s">
        <v>1605</v>
      </c>
      <c r="C457" s="288" t="s">
        <v>343</v>
      </c>
      <c r="D457" s="289" t="s">
        <v>194</v>
      </c>
      <c r="E457" s="309">
        <v>29</v>
      </c>
      <c r="F457" s="290">
        <v>1445.27</v>
      </c>
      <c r="G457" s="302">
        <f t="shared" si="29"/>
        <v>41912.83</v>
      </c>
    </row>
    <row r="458" spans="1:7" ht="22.5">
      <c r="A458" s="50"/>
      <c r="B458" s="235" t="s">
        <v>422</v>
      </c>
      <c r="C458" s="271" t="s">
        <v>344</v>
      </c>
      <c r="D458" s="9" t="s">
        <v>194</v>
      </c>
      <c r="E458" s="303">
        <v>13</v>
      </c>
      <c r="F458" s="93">
        <f>VLOOKUP(B458,dre!A:AR,41,FALSE)</f>
        <v>1762.9499999999998</v>
      </c>
      <c r="G458" s="297">
        <f t="shared" si="29"/>
        <v>22918.35</v>
      </c>
    </row>
    <row r="459" spans="1:7" ht="22.5">
      <c r="A459" s="50"/>
      <c r="B459" s="235" t="s">
        <v>425</v>
      </c>
      <c r="C459" s="271" t="s">
        <v>345</v>
      </c>
      <c r="D459" s="9" t="s">
        <v>194</v>
      </c>
      <c r="E459" s="303">
        <v>3</v>
      </c>
      <c r="F459" s="93">
        <f>VLOOKUP(B459,dre!A:AR,41,FALSE)</f>
        <v>2120.9899999999998</v>
      </c>
      <c r="G459" s="297">
        <f t="shared" si="29"/>
        <v>6362.97</v>
      </c>
    </row>
    <row r="460" spans="1:7" ht="22.5">
      <c r="A460" s="50"/>
      <c r="B460" s="239" t="s">
        <v>1605</v>
      </c>
      <c r="C460" s="291" t="s">
        <v>346</v>
      </c>
      <c r="D460" s="289" t="s">
        <v>194</v>
      </c>
      <c r="E460" s="309">
        <v>4</v>
      </c>
      <c r="F460" s="290">
        <v>1747.97</v>
      </c>
      <c r="G460" s="302">
        <f t="shared" si="29"/>
        <v>6991.88</v>
      </c>
    </row>
    <row r="461" spans="1:7">
      <c r="A461" s="50"/>
      <c r="B461" s="235" t="s">
        <v>754</v>
      </c>
      <c r="C461" s="257" t="s">
        <v>114</v>
      </c>
      <c r="D461" s="9" t="s">
        <v>194</v>
      </c>
      <c r="E461" s="303">
        <v>6</v>
      </c>
      <c r="F461" s="297">
        <f>VLOOKUP(B461,[2]Plan1!A$1:D$65536,4,FALSE)</f>
        <v>705.32</v>
      </c>
      <c r="G461" s="297">
        <f t="shared" si="29"/>
        <v>4231.92</v>
      </c>
    </row>
    <row r="462" spans="1:7">
      <c r="A462" s="50"/>
      <c r="B462" s="235" t="s">
        <v>755</v>
      </c>
      <c r="C462" s="257" t="s">
        <v>115</v>
      </c>
      <c r="D462" s="9" t="s">
        <v>194</v>
      </c>
      <c r="E462" s="303">
        <v>10</v>
      </c>
      <c r="F462" s="297">
        <f>VLOOKUP(B462,[2]Plan1!A$1:D$65536,4,FALSE)</f>
        <v>857.44</v>
      </c>
      <c r="G462" s="297">
        <f t="shared" si="29"/>
        <v>8574.4</v>
      </c>
    </row>
    <row r="463" spans="1:7">
      <c r="A463" s="50"/>
      <c r="B463" s="235" t="s">
        <v>756</v>
      </c>
      <c r="C463" s="257" t="s">
        <v>116</v>
      </c>
      <c r="D463" s="9" t="s">
        <v>194</v>
      </c>
      <c r="E463" s="303">
        <v>5</v>
      </c>
      <c r="F463" s="297">
        <f>VLOOKUP(B463,[2]Plan1!A$1:D$65536,4,FALSE)</f>
        <v>1190.94</v>
      </c>
      <c r="G463" s="297">
        <f t="shared" si="29"/>
        <v>5954.7</v>
      </c>
    </row>
    <row r="464" spans="1:7">
      <c r="A464" s="50"/>
      <c r="B464" s="235" t="s">
        <v>757</v>
      </c>
      <c r="C464" s="257" t="s">
        <v>603</v>
      </c>
      <c r="D464" s="9" t="s">
        <v>194</v>
      </c>
      <c r="E464" s="303">
        <v>2</v>
      </c>
      <c r="F464" s="297">
        <f>VLOOKUP(B464,[2]Plan1!A$1:D$65536,4,FALSE)</f>
        <v>1385.3</v>
      </c>
      <c r="G464" s="297">
        <f>TRUNC(E464*F464,2)</f>
        <v>2770.6</v>
      </c>
    </row>
    <row r="465" spans="1:7">
      <c r="A465" s="50"/>
      <c r="B465" s="235" t="s">
        <v>758</v>
      </c>
      <c r="C465" s="257" t="s">
        <v>117</v>
      </c>
      <c r="D465" s="9" t="s">
        <v>194</v>
      </c>
      <c r="E465" s="303">
        <v>2</v>
      </c>
      <c r="F465" s="297">
        <f>VLOOKUP(B465,[2]Plan1!A$1:D$65536,4,FALSE)</f>
        <v>1601.25</v>
      </c>
      <c r="G465" s="297">
        <f t="shared" si="29"/>
        <v>3202.5</v>
      </c>
    </row>
    <row r="466" spans="1:7">
      <c r="A466" s="50"/>
      <c r="B466" s="235" t="s">
        <v>759</v>
      </c>
      <c r="C466" s="257" t="s">
        <v>449</v>
      </c>
      <c r="D466" s="9" t="s">
        <v>194</v>
      </c>
      <c r="E466" s="303">
        <v>10</v>
      </c>
      <c r="F466" s="297">
        <f>VLOOKUP(B466,[2]Plan1!A$1:D$65536,4,FALSE)</f>
        <v>2248.88</v>
      </c>
      <c r="G466" s="297">
        <f t="shared" si="29"/>
        <v>22488.799999999999</v>
      </c>
    </row>
    <row r="467" spans="1:7">
      <c r="A467" s="50"/>
      <c r="B467" s="235" t="s">
        <v>740</v>
      </c>
      <c r="C467" s="257" t="s">
        <v>596</v>
      </c>
      <c r="D467" s="9" t="s">
        <v>194</v>
      </c>
      <c r="E467" s="303">
        <v>3</v>
      </c>
      <c r="F467" s="297">
        <f>VLOOKUP(B467,[2]Plan1!A$1:D$65536,4,FALSE)</f>
        <v>3544.25</v>
      </c>
      <c r="G467" s="297">
        <f>TRUNC(E467*F467,2)</f>
        <v>10632.75</v>
      </c>
    </row>
    <row r="468" spans="1:7">
      <c r="A468" s="50"/>
      <c r="B468" s="235" t="s">
        <v>741</v>
      </c>
      <c r="C468" s="257" t="s">
        <v>597</v>
      </c>
      <c r="D468" s="9" t="s">
        <v>194</v>
      </c>
      <c r="E468" s="303">
        <v>4</v>
      </c>
      <c r="F468" s="297">
        <f>VLOOKUP(B468,[2]Plan1!A$1:D$65536,4,FALSE)</f>
        <v>3871.65</v>
      </c>
      <c r="G468" s="297">
        <f>TRUNC(E468*F468,2)</f>
        <v>15486.6</v>
      </c>
    </row>
    <row r="469" spans="1:7">
      <c r="A469" s="50"/>
      <c r="B469" s="235" t="s">
        <v>760</v>
      </c>
      <c r="C469" s="257" t="s">
        <v>983</v>
      </c>
      <c r="D469" s="9" t="s">
        <v>194</v>
      </c>
      <c r="E469" s="303">
        <v>10</v>
      </c>
      <c r="F469" s="297">
        <f>VLOOKUP(B469,[2]Plan1!A$1:D$65536,4,FALSE)</f>
        <v>1402.44</v>
      </c>
      <c r="G469" s="297">
        <f t="shared" si="29"/>
        <v>14024.4</v>
      </c>
    </row>
    <row r="470" spans="1:7" ht="12.75" customHeight="1">
      <c r="A470" s="50"/>
      <c r="B470" s="235" t="s">
        <v>761</v>
      </c>
      <c r="C470" s="257" t="s">
        <v>984</v>
      </c>
      <c r="D470" s="9" t="s">
        <v>194</v>
      </c>
      <c r="E470" s="303">
        <v>3</v>
      </c>
      <c r="F470" s="297">
        <f>VLOOKUP(B470,[2]Plan1!A$1:D$65536,4,FALSE)</f>
        <v>1547.91</v>
      </c>
      <c r="G470" s="297">
        <f t="shared" si="29"/>
        <v>4643.7299999999996</v>
      </c>
    </row>
    <row r="471" spans="1:7">
      <c r="A471" s="50"/>
      <c r="B471" s="235" t="s">
        <v>762</v>
      </c>
      <c r="C471" s="257" t="s">
        <v>985</v>
      </c>
      <c r="D471" s="9" t="s">
        <v>194</v>
      </c>
      <c r="E471" s="303">
        <v>7</v>
      </c>
      <c r="F471" s="297">
        <f>VLOOKUP(B471,[2]Plan1!A$1:D$65536,4,FALSE)</f>
        <v>2591.48</v>
      </c>
      <c r="G471" s="297">
        <f t="shared" si="29"/>
        <v>18140.36</v>
      </c>
    </row>
    <row r="472" spans="1:7">
      <c r="A472" s="50"/>
      <c r="B472" s="235" t="s">
        <v>1418</v>
      </c>
      <c r="C472" s="257" t="s">
        <v>986</v>
      </c>
      <c r="D472" s="9" t="s">
        <v>194</v>
      </c>
      <c r="E472" s="303">
        <v>3</v>
      </c>
      <c r="F472" s="297">
        <f>VLOOKUP(B472,[2]Plan1!A$1:D$65536,4,FALSE)</f>
        <v>3855.44</v>
      </c>
      <c r="G472" s="297">
        <f>TRUNC(E472*F472,2)</f>
        <v>11566.32</v>
      </c>
    </row>
    <row r="473" spans="1:7">
      <c r="A473" s="50"/>
      <c r="B473" s="235" t="s">
        <v>742</v>
      </c>
      <c r="C473" s="257" t="s">
        <v>987</v>
      </c>
      <c r="D473" s="9" t="s">
        <v>194</v>
      </c>
      <c r="E473" s="303">
        <v>3</v>
      </c>
      <c r="F473" s="297">
        <f>VLOOKUP(B473,[2]Plan1!A$1:D$65536,4,FALSE)</f>
        <v>4182.84</v>
      </c>
      <c r="G473" s="297">
        <f>TRUNC(E473*F473,2)</f>
        <v>12548.52</v>
      </c>
    </row>
    <row r="474" spans="1:7">
      <c r="A474" s="50"/>
      <c r="B474" s="235" t="s">
        <v>712</v>
      </c>
      <c r="C474" s="252" t="s">
        <v>118</v>
      </c>
      <c r="D474" s="9" t="s">
        <v>186</v>
      </c>
      <c r="E474" s="303">
        <v>1242</v>
      </c>
      <c r="F474" s="297">
        <f>VLOOKUP(B474,[2]Plan1!A$1:D$65536,4,FALSE)</f>
        <v>82.27</v>
      </c>
      <c r="G474" s="297">
        <f t="shared" si="29"/>
        <v>102179.34</v>
      </c>
    </row>
    <row r="475" spans="1:7" ht="12.75" customHeight="1">
      <c r="A475" s="50"/>
      <c r="B475" s="235" t="s">
        <v>780</v>
      </c>
      <c r="C475" s="252" t="s">
        <v>119</v>
      </c>
      <c r="D475" s="9" t="s">
        <v>186</v>
      </c>
      <c r="E475" s="303">
        <v>473</v>
      </c>
      <c r="F475" s="209">
        <f>VLOOKUP(B475,[2]Plan1!A$1:D$65536,4,FALSE)</f>
        <v>83.23</v>
      </c>
      <c r="G475" s="297">
        <f t="shared" si="29"/>
        <v>39367.79</v>
      </c>
    </row>
    <row r="476" spans="1:7">
      <c r="A476" s="50"/>
      <c r="B476" s="235" t="s">
        <v>770</v>
      </c>
      <c r="C476" s="253" t="s">
        <v>286</v>
      </c>
      <c r="D476" s="1" t="s">
        <v>185</v>
      </c>
      <c r="E476" s="209">
        <v>8508</v>
      </c>
      <c r="F476" s="209">
        <f>VLOOKUP(B476,[2]Plan1!A$1:D$65536,4,FALSE)</f>
        <v>43.36</v>
      </c>
      <c r="G476" s="297">
        <f t="shared" si="29"/>
        <v>368906.88</v>
      </c>
    </row>
    <row r="477" spans="1:7">
      <c r="A477" s="50"/>
      <c r="B477" s="235" t="s">
        <v>869</v>
      </c>
      <c r="C477" s="253" t="s">
        <v>607</v>
      </c>
      <c r="D477" s="1" t="s">
        <v>194</v>
      </c>
      <c r="E477" s="209">
        <v>1</v>
      </c>
      <c r="F477" s="93">
        <f>VLOOKUP(B477,dre!A:AR,41,FALSE)</f>
        <v>370.28</v>
      </c>
      <c r="G477" s="297">
        <f t="shared" si="29"/>
        <v>370.28</v>
      </c>
    </row>
    <row r="478" spans="1:7">
      <c r="A478" s="50"/>
      <c r="B478" s="235" t="s">
        <v>1576</v>
      </c>
      <c r="C478" s="253" t="s">
        <v>1529</v>
      </c>
      <c r="D478" s="1" t="s">
        <v>194</v>
      </c>
      <c r="E478" s="209">
        <v>1</v>
      </c>
      <c r="F478" s="93">
        <f>VLOOKUP(B478,dre!A:AR,41,FALSE)</f>
        <v>1717.32</v>
      </c>
      <c r="G478" s="297">
        <f t="shared" si="29"/>
        <v>1717.32</v>
      </c>
    </row>
    <row r="479" spans="1:7">
      <c r="A479" s="50"/>
      <c r="B479" s="235" t="s">
        <v>1580</v>
      </c>
      <c r="C479" s="253" t="s">
        <v>1530</v>
      </c>
      <c r="D479" s="1" t="s">
        <v>194</v>
      </c>
      <c r="E479" s="209">
        <v>1</v>
      </c>
      <c r="F479" s="93">
        <f>VLOOKUP(B479,dre!A:AR,41,FALSE)</f>
        <v>2294.5500000000002</v>
      </c>
      <c r="G479" s="297">
        <f t="shared" si="29"/>
        <v>2294.5500000000002</v>
      </c>
    </row>
    <row r="480" spans="1:7">
      <c r="A480" s="50"/>
      <c r="B480" s="235" t="s">
        <v>1582</v>
      </c>
      <c r="C480" s="253" t="s">
        <v>1531</v>
      </c>
      <c r="D480" s="1" t="s">
        <v>194</v>
      </c>
      <c r="E480" s="209">
        <v>1</v>
      </c>
      <c r="F480" s="93">
        <f>VLOOKUP(B480,dre!A:AR,41,FALSE)</f>
        <v>3947.58</v>
      </c>
      <c r="G480" s="297">
        <f t="shared" si="29"/>
        <v>3947.58</v>
      </c>
    </row>
    <row r="481" spans="1:7" ht="12.75" customHeight="1">
      <c r="A481" s="50"/>
      <c r="B481" s="235" t="s">
        <v>873</v>
      </c>
      <c r="C481" s="252" t="s">
        <v>604</v>
      </c>
      <c r="D481" s="1" t="s">
        <v>194</v>
      </c>
      <c r="E481" s="209">
        <v>1</v>
      </c>
      <c r="F481" s="93">
        <f>VLOOKUP(B481,dre!A:AR,41,FALSE)</f>
        <v>6305.83</v>
      </c>
      <c r="G481" s="297">
        <f>TRUNC(E481*F481,2)</f>
        <v>6305.83</v>
      </c>
    </row>
    <row r="482" spans="1:7" ht="12.75" customHeight="1">
      <c r="A482" s="50"/>
      <c r="B482" s="235" t="s">
        <v>439</v>
      </c>
      <c r="C482" s="253" t="s">
        <v>1343</v>
      </c>
      <c r="D482" s="1" t="s">
        <v>194</v>
      </c>
      <c r="E482" s="209">
        <v>1</v>
      </c>
      <c r="F482" s="93">
        <f>VLOOKUP(B482,dre!A:AR,41,FALSE)</f>
        <v>4280</v>
      </c>
      <c r="G482" s="297">
        <f>TRUNC(E482*F482,2)</f>
        <v>4280</v>
      </c>
    </row>
    <row r="483" spans="1:7">
      <c r="A483" s="50"/>
      <c r="B483" s="235" t="s">
        <v>367</v>
      </c>
      <c r="C483" s="252" t="s">
        <v>617</v>
      </c>
      <c r="D483" s="28" t="s">
        <v>194</v>
      </c>
      <c r="E483" s="303">
        <v>40</v>
      </c>
      <c r="F483" s="93">
        <f>VLOOKUP(B483,dre!A:AR,41,FALSE)</f>
        <v>1385.0000000000002</v>
      </c>
      <c r="G483" s="297">
        <f>TRUNC(E483*F483,2)</f>
        <v>55400</v>
      </c>
    </row>
    <row r="484" spans="1:7">
      <c r="A484" s="50" t="s">
        <v>605</v>
      </c>
      <c r="B484" s="235"/>
      <c r="C484" s="256" t="s">
        <v>886</v>
      </c>
      <c r="D484" s="1"/>
      <c r="E484" s="208"/>
      <c r="F484" s="308"/>
      <c r="G484" s="296">
        <f>SUM(G440:G483)</f>
        <v>1898711.5500000005</v>
      </c>
    </row>
    <row r="485" spans="1:7">
      <c r="A485" s="50"/>
      <c r="B485" s="234" t="s">
        <v>606</v>
      </c>
      <c r="C485" s="270" t="s">
        <v>1532</v>
      </c>
      <c r="D485" s="1"/>
      <c r="E485" s="208"/>
      <c r="F485" s="308"/>
      <c r="G485" s="296"/>
    </row>
    <row r="486" spans="1:7">
      <c r="A486" s="50"/>
      <c r="B486" s="235" t="s">
        <v>735</v>
      </c>
      <c r="C486" s="257" t="s">
        <v>111</v>
      </c>
      <c r="D486" s="9" t="s">
        <v>186</v>
      </c>
      <c r="E486" s="303">
        <v>8670</v>
      </c>
      <c r="F486" s="297">
        <f>VLOOKUP(B486,[2]Plan1!A$1:D$65536,4,FALSE)</f>
        <v>7.19</v>
      </c>
      <c r="G486" s="297">
        <f t="shared" ref="G486:G519" si="30">TRUNC(E486*F486,2)</f>
        <v>62337.3</v>
      </c>
    </row>
    <row r="487" spans="1:7" ht="12.75" customHeight="1">
      <c r="A487" s="50"/>
      <c r="B487" s="235" t="s">
        <v>736</v>
      </c>
      <c r="C487" s="257" t="s">
        <v>112</v>
      </c>
      <c r="D487" s="9" t="s">
        <v>186</v>
      </c>
      <c r="E487" s="303">
        <v>5780</v>
      </c>
      <c r="F487" s="297">
        <f>VLOOKUP(B487,[2]Plan1!A$1:D$65536,4,FALSE)</f>
        <v>4.8</v>
      </c>
      <c r="G487" s="297">
        <f t="shared" si="30"/>
        <v>27744</v>
      </c>
    </row>
    <row r="488" spans="1:7">
      <c r="A488" s="50"/>
      <c r="B488" s="235" t="s">
        <v>737</v>
      </c>
      <c r="C488" s="253" t="s">
        <v>341</v>
      </c>
      <c r="D488" s="1" t="s">
        <v>186</v>
      </c>
      <c r="E488" s="209">
        <v>2890</v>
      </c>
      <c r="F488" s="297">
        <f>VLOOKUP(B488,[2]Plan1!A$1:D$65536,4,FALSE)</f>
        <v>1.1299999999999999</v>
      </c>
      <c r="G488" s="297">
        <f t="shared" si="30"/>
        <v>3265.7</v>
      </c>
    </row>
    <row r="489" spans="1:7" ht="22.5">
      <c r="A489" s="50"/>
      <c r="B489" s="235" t="s">
        <v>743</v>
      </c>
      <c r="C489" s="257" t="s">
        <v>379</v>
      </c>
      <c r="D489" s="9" t="s">
        <v>189</v>
      </c>
      <c r="E489" s="303">
        <v>688</v>
      </c>
      <c r="F489" s="297">
        <f>VLOOKUP(B489,[2]Plan1!A$1:D$65536,4,FALSE)</f>
        <v>32.950000000000003</v>
      </c>
      <c r="G489" s="297">
        <f t="shared" si="30"/>
        <v>22669.599999999999</v>
      </c>
    </row>
    <row r="490" spans="1:7" ht="22.5">
      <c r="A490" s="50"/>
      <c r="B490" s="235" t="s">
        <v>744</v>
      </c>
      <c r="C490" s="257" t="s">
        <v>380</v>
      </c>
      <c r="D490" s="9" t="s">
        <v>189</v>
      </c>
      <c r="E490" s="303">
        <v>1134</v>
      </c>
      <c r="F490" s="297">
        <f>VLOOKUP(B490,[2]Plan1!A$1:D$65536,4,FALSE)</f>
        <v>50.52</v>
      </c>
      <c r="G490" s="297">
        <f t="shared" si="30"/>
        <v>57289.68</v>
      </c>
    </row>
    <row r="491" spans="1:7" ht="22.5">
      <c r="A491" s="50"/>
      <c r="B491" s="235" t="s">
        <v>745</v>
      </c>
      <c r="C491" s="257" t="s">
        <v>381</v>
      </c>
      <c r="D491" s="9" t="s">
        <v>189</v>
      </c>
      <c r="E491" s="303">
        <v>471</v>
      </c>
      <c r="F491" s="297">
        <f>VLOOKUP(B491,[2]Plan1!A$1:D$65536,4,FALSE)</f>
        <v>59.51</v>
      </c>
      <c r="G491" s="297">
        <f t="shared" si="30"/>
        <v>28029.21</v>
      </c>
    </row>
    <row r="492" spans="1:7">
      <c r="A492" s="50"/>
      <c r="B492" s="235" t="s">
        <v>746</v>
      </c>
      <c r="C492" s="257" t="s">
        <v>382</v>
      </c>
      <c r="D492" s="9" t="s">
        <v>189</v>
      </c>
      <c r="E492" s="303">
        <v>7</v>
      </c>
      <c r="F492" s="297">
        <f>VLOOKUP(B492,[2]Plan1!A$1:D$65536,4,FALSE)</f>
        <v>92.95</v>
      </c>
      <c r="G492" s="297">
        <f t="shared" si="30"/>
        <v>650.65</v>
      </c>
    </row>
    <row r="493" spans="1:7">
      <c r="A493" s="50"/>
      <c r="B493" s="235" t="s">
        <v>747</v>
      </c>
      <c r="C493" s="257" t="s">
        <v>383</v>
      </c>
      <c r="D493" s="9" t="s">
        <v>189</v>
      </c>
      <c r="E493" s="303">
        <v>530</v>
      </c>
      <c r="F493" s="297">
        <f>VLOOKUP(B493,[2]Plan1!A$1:D$65536,4,FALSE)</f>
        <v>141.83000000000001</v>
      </c>
      <c r="G493" s="297">
        <f t="shared" si="30"/>
        <v>75169.899999999994</v>
      </c>
    </row>
    <row r="494" spans="1:7">
      <c r="A494" s="50"/>
      <c r="B494" s="235" t="s">
        <v>763</v>
      </c>
      <c r="C494" s="257" t="s">
        <v>384</v>
      </c>
      <c r="D494" s="9" t="s">
        <v>189</v>
      </c>
      <c r="E494" s="303">
        <v>65</v>
      </c>
      <c r="F494" s="297">
        <f>VLOOKUP(B494,[2]Plan1!A$1:D$65536,4,FALSE)</f>
        <v>165.74</v>
      </c>
      <c r="G494" s="297">
        <f>TRUNC(E494*F494,2)</f>
        <v>10773.1</v>
      </c>
    </row>
    <row r="495" spans="1:7">
      <c r="A495" s="50"/>
      <c r="B495" s="235" t="s">
        <v>748</v>
      </c>
      <c r="C495" s="257" t="s">
        <v>385</v>
      </c>
      <c r="D495" s="9" t="s">
        <v>189</v>
      </c>
      <c r="E495" s="303">
        <v>341</v>
      </c>
      <c r="F495" s="297">
        <f>VLOOKUP(B495,[2]Plan1!A$1:D$65536,4,FALSE)</f>
        <v>218.33</v>
      </c>
      <c r="G495" s="297">
        <f t="shared" si="30"/>
        <v>74450.53</v>
      </c>
    </row>
    <row r="496" spans="1:7" ht="12.75" customHeight="1">
      <c r="A496" s="50"/>
      <c r="B496" s="235" t="s">
        <v>764</v>
      </c>
      <c r="C496" s="257" t="s">
        <v>386</v>
      </c>
      <c r="D496" s="9" t="s">
        <v>189</v>
      </c>
      <c r="E496" s="303">
        <v>59</v>
      </c>
      <c r="F496" s="297">
        <f>VLOOKUP(B496,[2]Plan1!A$1:D$65536,4,FALSE)</f>
        <v>258.44</v>
      </c>
      <c r="G496" s="297">
        <f>TRUNC(E496*F496,2)</f>
        <v>15247.96</v>
      </c>
    </row>
    <row r="497" spans="1:7">
      <c r="A497" s="50"/>
      <c r="B497" s="235" t="s">
        <v>749</v>
      </c>
      <c r="C497" s="257" t="s">
        <v>387</v>
      </c>
      <c r="D497" s="9" t="s">
        <v>189</v>
      </c>
      <c r="E497" s="303">
        <v>318</v>
      </c>
      <c r="F497" s="297">
        <f>VLOOKUP(B497,[2]Plan1!A$1:D$65536,4,FALSE)</f>
        <v>319.16000000000003</v>
      </c>
      <c r="G497" s="297">
        <f t="shared" si="30"/>
        <v>101492.88</v>
      </c>
    </row>
    <row r="498" spans="1:7">
      <c r="A498" s="50"/>
      <c r="B498" s="235" t="s">
        <v>752</v>
      </c>
      <c r="C498" s="257" t="s">
        <v>389</v>
      </c>
      <c r="D498" s="9" t="s">
        <v>194</v>
      </c>
      <c r="E498" s="303">
        <v>85</v>
      </c>
      <c r="F498" s="297">
        <f>VLOOKUP(B498,[2]Plan1!A$1:D$65536,4,FALSE)</f>
        <v>598.96</v>
      </c>
      <c r="G498" s="297">
        <f t="shared" si="30"/>
        <v>50911.6</v>
      </c>
    </row>
    <row r="499" spans="1:7">
      <c r="A499" s="50"/>
      <c r="B499" s="235" t="s">
        <v>753</v>
      </c>
      <c r="C499" s="257" t="s">
        <v>113</v>
      </c>
      <c r="D499" s="9" t="s">
        <v>194</v>
      </c>
      <c r="E499" s="303">
        <v>1</v>
      </c>
      <c r="F499" s="297">
        <f>VLOOKUP(B499,[2]Plan1!A$1:D$65536,4,FALSE)</f>
        <v>950.52</v>
      </c>
      <c r="G499" s="297">
        <f t="shared" si="30"/>
        <v>950.52</v>
      </c>
    </row>
    <row r="500" spans="1:7" ht="22.5">
      <c r="A500" s="50"/>
      <c r="B500" s="287" t="s">
        <v>1605</v>
      </c>
      <c r="C500" s="288" t="s">
        <v>342</v>
      </c>
      <c r="D500" s="289" t="s">
        <v>194</v>
      </c>
      <c r="E500" s="309">
        <v>4</v>
      </c>
      <c r="F500" s="290">
        <v>1037.6400000000001</v>
      </c>
      <c r="G500" s="302">
        <f t="shared" si="30"/>
        <v>4150.5600000000004</v>
      </c>
    </row>
    <row r="501" spans="1:7" ht="22.5">
      <c r="A501" s="50"/>
      <c r="B501" s="287" t="s">
        <v>1605</v>
      </c>
      <c r="C501" s="288" t="s">
        <v>343</v>
      </c>
      <c r="D501" s="289" t="s">
        <v>194</v>
      </c>
      <c r="E501" s="309">
        <v>25</v>
      </c>
      <c r="F501" s="290">
        <v>1445.27</v>
      </c>
      <c r="G501" s="302">
        <f t="shared" si="30"/>
        <v>36131.75</v>
      </c>
    </row>
    <row r="502" spans="1:7" ht="22.5">
      <c r="A502" s="50"/>
      <c r="B502" s="235" t="s">
        <v>422</v>
      </c>
      <c r="C502" s="271" t="s">
        <v>344</v>
      </c>
      <c r="D502" s="9" t="s">
        <v>194</v>
      </c>
      <c r="E502" s="303">
        <v>10</v>
      </c>
      <c r="F502" s="93">
        <f>VLOOKUP(B502,dre!A:AR,41,FALSE)</f>
        <v>1762.9499999999998</v>
      </c>
      <c r="G502" s="297">
        <f t="shared" si="30"/>
        <v>17629.5</v>
      </c>
    </row>
    <row r="503" spans="1:7" ht="22.5">
      <c r="A503" s="50"/>
      <c r="B503" s="239" t="s">
        <v>1605</v>
      </c>
      <c r="C503" s="291" t="s">
        <v>346</v>
      </c>
      <c r="D503" s="289" t="s">
        <v>194</v>
      </c>
      <c r="E503" s="309">
        <v>2</v>
      </c>
      <c r="F503" s="290">
        <v>1747.97</v>
      </c>
      <c r="G503" s="302">
        <f t="shared" si="30"/>
        <v>3495.94</v>
      </c>
    </row>
    <row r="504" spans="1:7" ht="22.5">
      <c r="A504" s="50"/>
      <c r="B504" s="235" t="s">
        <v>427</v>
      </c>
      <c r="C504" s="271" t="s">
        <v>347</v>
      </c>
      <c r="D504" s="9" t="s">
        <v>194</v>
      </c>
      <c r="E504" s="303">
        <v>2</v>
      </c>
      <c r="F504" s="93">
        <f>VLOOKUP(B504,dre!A:AR,41,FALSE)</f>
        <v>2911.4700000000003</v>
      </c>
      <c r="G504" s="297">
        <f t="shared" si="30"/>
        <v>5822.94</v>
      </c>
    </row>
    <row r="505" spans="1:7">
      <c r="A505" s="50"/>
      <c r="B505" s="235" t="s">
        <v>754</v>
      </c>
      <c r="C505" s="257" t="s">
        <v>114</v>
      </c>
      <c r="D505" s="9" t="s">
        <v>194</v>
      </c>
      <c r="E505" s="303">
        <v>12</v>
      </c>
      <c r="F505" s="297">
        <f>VLOOKUP(B505,[2]Plan1!A$1:D$65536,4,FALSE)</f>
        <v>705.32</v>
      </c>
      <c r="G505" s="297">
        <f t="shared" si="30"/>
        <v>8463.84</v>
      </c>
    </row>
    <row r="506" spans="1:7">
      <c r="A506" s="50"/>
      <c r="B506" s="235" t="s">
        <v>755</v>
      </c>
      <c r="C506" s="257" t="s">
        <v>115</v>
      </c>
      <c r="D506" s="9" t="s">
        <v>194</v>
      </c>
      <c r="E506" s="303">
        <v>2</v>
      </c>
      <c r="F506" s="209">
        <f>VLOOKUP(B506,[2]Plan1!A$1:D$65536,4,FALSE)</f>
        <v>857.44</v>
      </c>
      <c r="G506" s="297">
        <f t="shared" si="30"/>
        <v>1714.88</v>
      </c>
    </row>
    <row r="507" spans="1:7">
      <c r="A507" s="50"/>
      <c r="B507" s="235" t="s">
        <v>756</v>
      </c>
      <c r="C507" s="257" t="s">
        <v>116</v>
      </c>
      <c r="D507" s="9" t="s">
        <v>194</v>
      </c>
      <c r="E507" s="303">
        <v>14</v>
      </c>
      <c r="F507" s="209">
        <f>VLOOKUP(B507,[2]Plan1!A$1:D$65536,4,FALSE)</f>
        <v>1190.94</v>
      </c>
      <c r="G507" s="297">
        <f t="shared" si="30"/>
        <v>16673.16</v>
      </c>
    </row>
    <row r="508" spans="1:7">
      <c r="A508" s="50"/>
      <c r="B508" s="235" t="s">
        <v>757</v>
      </c>
      <c r="C508" s="257" t="s">
        <v>603</v>
      </c>
      <c r="D508" s="9" t="s">
        <v>194</v>
      </c>
      <c r="E508" s="303">
        <v>6</v>
      </c>
      <c r="F508" s="209">
        <f>VLOOKUP(B508,[2]Plan1!A$1:D$65536,4,FALSE)</f>
        <v>1385.3</v>
      </c>
      <c r="G508" s="297">
        <f t="shared" si="30"/>
        <v>8311.7999999999993</v>
      </c>
    </row>
    <row r="509" spans="1:7">
      <c r="A509" s="50"/>
      <c r="B509" s="235" t="s">
        <v>758</v>
      </c>
      <c r="C509" s="257" t="s">
        <v>117</v>
      </c>
      <c r="D509" s="9" t="s">
        <v>194</v>
      </c>
      <c r="E509" s="303">
        <v>10</v>
      </c>
      <c r="F509" s="209">
        <f>VLOOKUP(B509,[2]Plan1!A$1:D$65536,4,FALSE)</f>
        <v>1601.25</v>
      </c>
      <c r="G509" s="297">
        <f t="shared" si="30"/>
        <v>16012.5</v>
      </c>
    </row>
    <row r="510" spans="1:7">
      <c r="A510" s="50"/>
      <c r="B510" s="235" t="s">
        <v>760</v>
      </c>
      <c r="C510" s="257" t="s">
        <v>1533</v>
      </c>
      <c r="D510" s="9" t="s">
        <v>194</v>
      </c>
      <c r="E510" s="303">
        <v>5</v>
      </c>
      <c r="F510" s="209">
        <f>VLOOKUP(B510,[2]Plan1!A$1:D$65536,4,FALSE)</f>
        <v>1402.44</v>
      </c>
      <c r="G510" s="297">
        <f t="shared" si="30"/>
        <v>7012.2</v>
      </c>
    </row>
    <row r="511" spans="1:7">
      <c r="A511" s="50"/>
      <c r="B511" s="235" t="s">
        <v>760</v>
      </c>
      <c r="C511" s="257" t="s">
        <v>983</v>
      </c>
      <c r="D511" s="9" t="s">
        <v>194</v>
      </c>
      <c r="E511" s="303">
        <v>1</v>
      </c>
      <c r="F511" s="209">
        <f>VLOOKUP(B511,[2]Plan1!A$1:D$65536,4,FALSE)</f>
        <v>1402.44</v>
      </c>
      <c r="G511" s="297">
        <f t="shared" si="30"/>
        <v>1402.44</v>
      </c>
    </row>
    <row r="512" spans="1:7">
      <c r="A512" s="50"/>
      <c r="B512" s="235" t="s">
        <v>761</v>
      </c>
      <c r="C512" s="257" t="s">
        <v>984</v>
      </c>
      <c r="D512" s="9" t="s">
        <v>194</v>
      </c>
      <c r="E512" s="303">
        <v>13</v>
      </c>
      <c r="F512" s="209">
        <f>VLOOKUP(B512,[2]Plan1!A$1:D$65536,4,FALSE)</f>
        <v>1547.91</v>
      </c>
      <c r="G512" s="297">
        <f t="shared" si="30"/>
        <v>20122.830000000002</v>
      </c>
    </row>
    <row r="513" spans="1:7">
      <c r="A513" s="50"/>
      <c r="B513" s="235" t="s">
        <v>1535</v>
      </c>
      <c r="C513" s="257" t="s">
        <v>1534</v>
      </c>
      <c r="D513" s="9" t="s">
        <v>194</v>
      </c>
      <c r="E513" s="303">
        <v>6</v>
      </c>
      <c r="F513" s="209">
        <f>VLOOKUP(B513,[2]Plan1!A$1:D$65536,4,FALSE)</f>
        <v>1741.91</v>
      </c>
      <c r="G513" s="297">
        <f t="shared" si="30"/>
        <v>10451.459999999999</v>
      </c>
    </row>
    <row r="514" spans="1:7">
      <c r="A514" s="50"/>
      <c r="B514" s="235" t="s">
        <v>712</v>
      </c>
      <c r="C514" s="252" t="s">
        <v>118</v>
      </c>
      <c r="D514" s="9" t="s">
        <v>186</v>
      </c>
      <c r="E514" s="303">
        <v>853</v>
      </c>
      <c r="F514" s="209">
        <f>VLOOKUP(B514,[2]Plan1!A$1:D$65536,4,FALSE)</f>
        <v>82.27</v>
      </c>
      <c r="G514" s="297">
        <f t="shared" si="30"/>
        <v>70176.31</v>
      </c>
    </row>
    <row r="515" spans="1:7">
      <c r="A515" s="50"/>
      <c r="B515" s="235" t="s">
        <v>780</v>
      </c>
      <c r="C515" s="252" t="s">
        <v>119</v>
      </c>
      <c r="D515" s="9" t="s">
        <v>186</v>
      </c>
      <c r="E515" s="303">
        <v>361</v>
      </c>
      <c r="F515" s="209">
        <f>VLOOKUP(B515,[2]Plan1!A$1:D$65536,4,FALSE)</f>
        <v>83.23</v>
      </c>
      <c r="G515" s="297">
        <f t="shared" si="30"/>
        <v>30046.03</v>
      </c>
    </row>
    <row r="516" spans="1:7">
      <c r="A516" s="50"/>
      <c r="B516" s="235" t="s">
        <v>770</v>
      </c>
      <c r="C516" s="253" t="s">
        <v>286</v>
      </c>
      <c r="D516" s="1" t="s">
        <v>185</v>
      </c>
      <c r="E516" s="209">
        <v>6691</v>
      </c>
      <c r="F516" s="297">
        <f>VLOOKUP(B516,[2]Plan1!A$1:D$65536,4,FALSE)</f>
        <v>43.36</v>
      </c>
      <c r="G516" s="297">
        <f t="shared" si="30"/>
        <v>290121.76</v>
      </c>
    </row>
    <row r="517" spans="1:7">
      <c r="A517" s="50"/>
      <c r="B517" s="235" t="s">
        <v>869</v>
      </c>
      <c r="C517" s="253" t="s">
        <v>607</v>
      </c>
      <c r="D517" s="1" t="s">
        <v>194</v>
      </c>
      <c r="E517" s="209">
        <v>1</v>
      </c>
      <c r="F517" s="93">
        <f>VLOOKUP(B517,dre!A:AR,41,FALSE)</f>
        <v>370.28</v>
      </c>
      <c r="G517" s="297">
        <f t="shared" si="30"/>
        <v>370.28</v>
      </c>
    </row>
    <row r="518" spans="1:7">
      <c r="A518" s="50"/>
      <c r="B518" s="235" t="s">
        <v>871</v>
      </c>
      <c r="C518" s="253" t="s">
        <v>608</v>
      </c>
      <c r="D518" s="1" t="s">
        <v>194</v>
      </c>
      <c r="E518" s="209">
        <v>1</v>
      </c>
      <c r="F518" s="93">
        <f>VLOOKUP(B518,dre!A:AR,41,FALSE)</f>
        <v>1158.98</v>
      </c>
      <c r="G518" s="297">
        <f t="shared" si="30"/>
        <v>1158.98</v>
      </c>
    </row>
    <row r="519" spans="1:7">
      <c r="A519" s="50"/>
      <c r="B519" s="235" t="s">
        <v>367</v>
      </c>
      <c r="C519" s="252" t="s">
        <v>617</v>
      </c>
      <c r="D519" s="28" t="s">
        <v>194</v>
      </c>
      <c r="E519" s="303">
        <v>73</v>
      </c>
      <c r="F519" s="93">
        <f>VLOOKUP(B519,dre!A:AR,41,FALSE)</f>
        <v>1385.0000000000002</v>
      </c>
      <c r="G519" s="297">
        <f t="shared" si="30"/>
        <v>101105</v>
      </c>
    </row>
    <row r="520" spans="1:7" ht="12.75" customHeight="1">
      <c r="A520" s="50" t="s">
        <v>609</v>
      </c>
      <c r="B520" s="235"/>
      <c r="C520" s="256" t="s">
        <v>886</v>
      </c>
      <c r="D520" s="1"/>
      <c r="E520" s="208"/>
      <c r="F520" s="308"/>
      <c r="G520" s="296">
        <f>SUM(G486:G519)</f>
        <v>1181356.7899999998</v>
      </c>
    </row>
    <row r="521" spans="1:7">
      <c r="A521" s="50"/>
      <c r="B521" s="234" t="s">
        <v>610</v>
      </c>
      <c r="C521" s="270" t="s">
        <v>612</v>
      </c>
      <c r="D521" s="1"/>
      <c r="E521" s="208"/>
      <c r="F521" s="308"/>
      <c r="G521" s="296"/>
    </row>
    <row r="522" spans="1:7">
      <c r="A522" s="50"/>
      <c r="B522" s="235" t="s">
        <v>735</v>
      </c>
      <c r="C522" s="257" t="s">
        <v>111</v>
      </c>
      <c r="D522" s="9" t="s">
        <v>186</v>
      </c>
      <c r="E522" s="303">
        <v>915</v>
      </c>
      <c r="F522" s="297">
        <f>VLOOKUP(B522,[2]Plan1!A$1:D$65536,4,FALSE)</f>
        <v>7.19</v>
      </c>
      <c r="G522" s="297">
        <f t="shared" ref="G522:G535" si="31">TRUNC(E522*F522,2)</f>
        <v>6578.85</v>
      </c>
    </row>
    <row r="523" spans="1:7">
      <c r="A523" s="50"/>
      <c r="B523" s="235" t="s">
        <v>736</v>
      </c>
      <c r="C523" s="257" t="s">
        <v>112</v>
      </c>
      <c r="D523" s="9" t="s">
        <v>186</v>
      </c>
      <c r="E523" s="303">
        <v>525</v>
      </c>
      <c r="F523" s="297">
        <f>VLOOKUP(B523,[2]Plan1!A$1:D$65536,4,FALSE)</f>
        <v>4.8</v>
      </c>
      <c r="G523" s="297">
        <f t="shared" si="31"/>
        <v>2520</v>
      </c>
    </row>
    <row r="524" spans="1:7">
      <c r="A524" s="50"/>
      <c r="B524" s="235" t="s">
        <v>737</v>
      </c>
      <c r="C524" s="253" t="s">
        <v>341</v>
      </c>
      <c r="D524" s="1" t="s">
        <v>186</v>
      </c>
      <c r="E524" s="209">
        <v>390</v>
      </c>
      <c r="F524" s="297">
        <f>VLOOKUP(B524,[2]Plan1!A$1:D$65536,4,FALSE)</f>
        <v>1.1299999999999999</v>
      </c>
      <c r="G524" s="297">
        <f t="shared" si="31"/>
        <v>440.7</v>
      </c>
    </row>
    <row r="525" spans="1:7" ht="22.5">
      <c r="A525" s="50"/>
      <c r="B525" s="235" t="s">
        <v>743</v>
      </c>
      <c r="C525" s="257" t="s">
        <v>379</v>
      </c>
      <c r="D525" s="9" t="s">
        <v>189</v>
      </c>
      <c r="E525" s="303">
        <v>11</v>
      </c>
      <c r="F525" s="297">
        <f>VLOOKUP(B525,[2]Plan1!A$1:D$65536,4,FALSE)</f>
        <v>32.950000000000003</v>
      </c>
      <c r="G525" s="297">
        <f t="shared" si="31"/>
        <v>362.45</v>
      </c>
    </row>
    <row r="526" spans="1:7" ht="22.5">
      <c r="A526" s="50"/>
      <c r="B526" s="235" t="s">
        <v>744</v>
      </c>
      <c r="C526" s="257" t="s">
        <v>380</v>
      </c>
      <c r="D526" s="9" t="s">
        <v>189</v>
      </c>
      <c r="E526" s="303">
        <v>339</v>
      </c>
      <c r="F526" s="297">
        <f>VLOOKUP(B526,[2]Plan1!A$1:D$65536,4,FALSE)</f>
        <v>50.52</v>
      </c>
      <c r="G526" s="297">
        <f t="shared" si="31"/>
        <v>17126.28</v>
      </c>
    </row>
    <row r="527" spans="1:7">
      <c r="A527" s="50"/>
      <c r="B527" s="235" t="s">
        <v>750</v>
      </c>
      <c r="C527" s="257" t="s">
        <v>448</v>
      </c>
      <c r="D527" s="9" t="s">
        <v>189</v>
      </c>
      <c r="E527" s="303">
        <v>88</v>
      </c>
      <c r="F527" s="297">
        <f>VLOOKUP(B527,[2]Plan1!A$1:D$65536,4,FALSE)</f>
        <v>459.88</v>
      </c>
      <c r="G527" s="297">
        <f t="shared" si="31"/>
        <v>40469.440000000002</v>
      </c>
    </row>
    <row r="528" spans="1:7">
      <c r="A528" s="50"/>
      <c r="B528" s="235" t="s">
        <v>751</v>
      </c>
      <c r="C528" s="257" t="s">
        <v>388</v>
      </c>
      <c r="D528" s="9" t="s">
        <v>189</v>
      </c>
      <c r="E528" s="303">
        <v>18</v>
      </c>
      <c r="F528" s="297">
        <f>VLOOKUP(B528,[2]Plan1!A$1:D$65536,4,FALSE)</f>
        <v>561.07000000000005</v>
      </c>
      <c r="G528" s="297">
        <f t="shared" si="31"/>
        <v>10099.26</v>
      </c>
    </row>
    <row r="529" spans="1:7">
      <c r="A529" s="50"/>
      <c r="B529" s="235" t="s">
        <v>752</v>
      </c>
      <c r="C529" s="257" t="s">
        <v>389</v>
      </c>
      <c r="D529" s="9" t="s">
        <v>194</v>
      </c>
      <c r="E529" s="303">
        <v>34</v>
      </c>
      <c r="F529" s="297">
        <f>VLOOKUP(B529,[2]Plan1!A$1:D$65536,4,FALSE)</f>
        <v>598.96</v>
      </c>
      <c r="G529" s="297">
        <f t="shared" si="31"/>
        <v>20364.64</v>
      </c>
    </row>
    <row r="530" spans="1:7" ht="22.5">
      <c r="A530" s="50"/>
      <c r="B530" s="235" t="s">
        <v>422</v>
      </c>
      <c r="C530" s="271" t="s">
        <v>344</v>
      </c>
      <c r="D530" s="9" t="s">
        <v>194</v>
      </c>
      <c r="E530" s="303">
        <v>4</v>
      </c>
      <c r="F530" s="93">
        <f>VLOOKUP(B530,dre!A:AR,41,FALSE)</f>
        <v>1762.9499999999998</v>
      </c>
      <c r="G530" s="297">
        <f t="shared" si="31"/>
        <v>7051.8</v>
      </c>
    </row>
    <row r="531" spans="1:7">
      <c r="A531" s="50"/>
      <c r="B531" s="235" t="s">
        <v>759</v>
      </c>
      <c r="C531" s="257" t="s">
        <v>449</v>
      </c>
      <c r="D531" s="9" t="s">
        <v>194</v>
      </c>
      <c r="E531" s="303">
        <v>2</v>
      </c>
      <c r="F531" s="297">
        <f>VLOOKUP(B531,[2]Plan1!A$1:D$65536,4,FALSE)</f>
        <v>2248.88</v>
      </c>
      <c r="G531" s="297">
        <f t="shared" si="31"/>
        <v>4497.76</v>
      </c>
    </row>
    <row r="532" spans="1:7">
      <c r="A532" s="50"/>
      <c r="B532" s="235" t="s">
        <v>762</v>
      </c>
      <c r="C532" s="257" t="s">
        <v>985</v>
      </c>
      <c r="D532" s="9" t="s">
        <v>194</v>
      </c>
      <c r="E532" s="303">
        <v>2</v>
      </c>
      <c r="F532" s="297">
        <f>VLOOKUP(B532,[2]Plan1!A$1:D$65536,4,FALSE)</f>
        <v>2591.48</v>
      </c>
      <c r="G532" s="297">
        <f t="shared" si="31"/>
        <v>5182.96</v>
      </c>
    </row>
    <row r="533" spans="1:7">
      <c r="A533" s="50"/>
      <c r="B533" s="235" t="s">
        <v>712</v>
      </c>
      <c r="C533" s="252" t="s">
        <v>118</v>
      </c>
      <c r="D533" s="9" t="s">
        <v>186</v>
      </c>
      <c r="E533" s="303">
        <v>120</v>
      </c>
      <c r="F533" s="297">
        <f>VLOOKUP(B533,[2]Plan1!A$1:D$65536,4,FALSE)</f>
        <v>82.27</v>
      </c>
      <c r="G533" s="297">
        <f t="shared" si="31"/>
        <v>9872.4</v>
      </c>
    </row>
    <row r="534" spans="1:7">
      <c r="A534" s="50"/>
      <c r="B534" s="235" t="s">
        <v>780</v>
      </c>
      <c r="C534" s="252" t="s">
        <v>119</v>
      </c>
      <c r="D534" s="9" t="s">
        <v>186</v>
      </c>
      <c r="E534" s="303">
        <v>30</v>
      </c>
      <c r="F534" s="297">
        <f>VLOOKUP(B534,[2]Plan1!A$1:D$65536,4,FALSE)</f>
        <v>83.23</v>
      </c>
      <c r="G534" s="297">
        <f t="shared" si="31"/>
        <v>2496.9</v>
      </c>
    </row>
    <row r="535" spans="1:7">
      <c r="A535" s="50"/>
      <c r="B535" s="235" t="s">
        <v>770</v>
      </c>
      <c r="C535" s="253" t="s">
        <v>286</v>
      </c>
      <c r="D535" s="1" t="s">
        <v>185</v>
      </c>
      <c r="E535" s="209">
        <v>573</v>
      </c>
      <c r="F535" s="297">
        <f>VLOOKUP(B535,[2]Plan1!A$1:D$65536,4,FALSE)</f>
        <v>43.36</v>
      </c>
      <c r="G535" s="297">
        <f t="shared" si="31"/>
        <v>24845.279999999999</v>
      </c>
    </row>
    <row r="536" spans="1:7">
      <c r="A536" s="50" t="s">
        <v>611</v>
      </c>
      <c r="B536" s="235"/>
      <c r="C536" s="256" t="s">
        <v>886</v>
      </c>
      <c r="D536" s="1"/>
      <c r="E536" s="208"/>
      <c r="F536" s="308"/>
      <c r="G536" s="296">
        <f>SUM(G522:G535)</f>
        <v>151908.71999999997</v>
      </c>
    </row>
    <row r="537" spans="1:7">
      <c r="A537" s="50"/>
      <c r="B537" s="234" t="s">
        <v>613</v>
      </c>
      <c r="C537" s="270" t="s">
        <v>614</v>
      </c>
      <c r="D537" s="1"/>
      <c r="E537" s="208"/>
      <c r="F537" s="308"/>
      <c r="G537" s="296"/>
    </row>
    <row r="538" spans="1:7">
      <c r="A538" s="50"/>
      <c r="B538" s="235" t="s">
        <v>735</v>
      </c>
      <c r="C538" s="257" t="s">
        <v>111</v>
      </c>
      <c r="D538" s="9" t="s">
        <v>186</v>
      </c>
      <c r="E538" s="303">
        <v>1173</v>
      </c>
      <c r="F538" s="297">
        <f>VLOOKUP(B538,[2]Plan1!A$1:D$65536,4,FALSE)</f>
        <v>7.19</v>
      </c>
      <c r="G538" s="297">
        <f t="shared" ref="G538:G555" si="32">TRUNC(E538*F538,2)</f>
        <v>8433.8700000000008</v>
      </c>
    </row>
    <row r="539" spans="1:7" ht="12.75" customHeight="1">
      <c r="A539" s="50"/>
      <c r="B539" s="235" t="s">
        <v>736</v>
      </c>
      <c r="C539" s="257" t="s">
        <v>112</v>
      </c>
      <c r="D539" s="9" t="s">
        <v>186</v>
      </c>
      <c r="E539" s="303">
        <v>770</v>
      </c>
      <c r="F539" s="297">
        <f>VLOOKUP(B539,[2]Plan1!A$1:D$65536,4,FALSE)</f>
        <v>4.8</v>
      </c>
      <c r="G539" s="297">
        <f t="shared" si="32"/>
        <v>3696</v>
      </c>
    </row>
    <row r="540" spans="1:7">
      <c r="A540" s="50"/>
      <c r="B540" s="235" t="s">
        <v>737</v>
      </c>
      <c r="C540" s="253" t="s">
        <v>341</v>
      </c>
      <c r="D540" s="1" t="s">
        <v>186</v>
      </c>
      <c r="E540" s="209">
        <v>403</v>
      </c>
      <c r="F540" s="297">
        <f>VLOOKUP(B540,[2]Plan1!A$1:D$65536,4,FALSE)</f>
        <v>1.1299999999999999</v>
      </c>
      <c r="G540" s="297">
        <f t="shared" si="32"/>
        <v>455.39</v>
      </c>
    </row>
    <row r="541" spans="1:7" ht="22.5">
      <c r="A541" s="50"/>
      <c r="B541" s="235" t="s">
        <v>743</v>
      </c>
      <c r="C541" s="257" t="s">
        <v>379</v>
      </c>
      <c r="D541" s="9" t="s">
        <v>189</v>
      </c>
      <c r="E541" s="303">
        <v>80</v>
      </c>
      <c r="F541" s="297">
        <f>VLOOKUP(B541,[2]Plan1!A$1:D$65536,4,FALSE)</f>
        <v>32.950000000000003</v>
      </c>
      <c r="G541" s="297">
        <f t="shared" si="32"/>
        <v>2636</v>
      </c>
    </row>
    <row r="542" spans="1:7" ht="12.75" customHeight="1">
      <c r="A542" s="50"/>
      <c r="B542" s="235" t="s">
        <v>744</v>
      </c>
      <c r="C542" s="257" t="s">
        <v>380</v>
      </c>
      <c r="D542" s="9" t="s">
        <v>189</v>
      </c>
      <c r="E542" s="303">
        <v>420</v>
      </c>
      <c r="F542" s="209">
        <f>VLOOKUP(B542,[2]Plan1!A$1:D$65536,4,FALSE)</f>
        <v>50.52</v>
      </c>
      <c r="G542" s="297">
        <f t="shared" si="32"/>
        <v>21218.400000000001</v>
      </c>
    </row>
    <row r="543" spans="1:7" ht="12.75" customHeight="1">
      <c r="A543" s="50"/>
      <c r="B543" s="235" t="s">
        <v>747</v>
      </c>
      <c r="C543" s="257" t="s">
        <v>383</v>
      </c>
      <c r="D543" s="9" t="s">
        <v>189</v>
      </c>
      <c r="E543" s="303">
        <v>186</v>
      </c>
      <c r="F543" s="209">
        <f>VLOOKUP(B543,[2]Plan1!A$1:D$65536,4,FALSE)</f>
        <v>141.83000000000001</v>
      </c>
      <c r="G543" s="297">
        <f t="shared" si="32"/>
        <v>26380.38</v>
      </c>
    </row>
    <row r="544" spans="1:7" ht="12.75" customHeight="1">
      <c r="A544" s="50"/>
      <c r="B544" s="235" t="s">
        <v>748</v>
      </c>
      <c r="C544" s="257" t="s">
        <v>385</v>
      </c>
      <c r="D544" s="9" t="s">
        <v>189</v>
      </c>
      <c r="E544" s="303">
        <v>90</v>
      </c>
      <c r="F544" s="209">
        <f>VLOOKUP(B544,[2]Plan1!A$1:D$65536,4,FALSE)</f>
        <v>218.33</v>
      </c>
      <c r="G544" s="297">
        <f t="shared" si="32"/>
        <v>19649.7</v>
      </c>
    </row>
    <row r="545" spans="1:7" ht="12.75" customHeight="1">
      <c r="A545" s="50"/>
      <c r="B545" s="235" t="s">
        <v>749</v>
      </c>
      <c r="C545" s="257" t="s">
        <v>387</v>
      </c>
      <c r="D545" s="9" t="s">
        <v>189</v>
      </c>
      <c r="E545" s="303">
        <v>166</v>
      </c>
      <c r="F545" s="209">
        <v>319.16000000000003</v>
      </c>
      <c r="G545" s="297">
        <f t="shared" si="32"/>
        <v>52980.56</v>
      </c>
    </row>
    <row r="546" spans="1:7" ht="12.75" customHeight="1">
      <c r="A546" s="50"/>
      <c r="B546" s="235" t="s">
        <v>752</v>
      </c>
      <c r="C546" s="257" t="s">
        <v>389</v>
      </c>
      <c r="D546" s="9" t="s">
        <v>194</v>
      </c>
      <c r="E546" s="303">
        <v>47</v>
      </c>
      <c r="F546" s="209">
        <f>VLOOKUP(B546,[2]Plan1!A$1:D$65536,4,FALSE)</f>
        <v>598.96</v>
      </c>
      <c r="G546" s="297">
        <f t="shared" si="32"/>
        <v>28151.119999999999</v>
      </c>
    </row>
    <row r="547" spans="1:7" ht="22.5">
      <c r="A547" s="50"/>
      <c r="B547" s="239" t="s">
        <v>1605</v>
      </c>
      <c r="C547" s="291" t="s">
        <v>342</v>
      </c>
      <c r="D547" s="289" t="s">
        <v>194</v>
      </c>
      <c r="E547" s="309">
        <v>1</v>
      </c>
      <c r="F547" s="290">
        <v>1037.6400000000001</v>
      </c>
      <c r="G547" s="302">
        <f t="shared" si="32"/>
        <v>1037.6400000000001</v>
      </c>
    </row>
    <row r="548" spans="1:7" ht="22.5">
      <c r="A548" s="50"/>
      <c r="B548" s="239" t="s">
        <v>1605</v>
      </c>
      <c r="C548" s="291" t="s">
        <v>343</v>
      </c>
      <c r="D548" s="289" t="s">
        <v>194</v>
      </c>
      <c r="E548" s="309">
        <v>5</v>
      </c>
      <c r="F548" s="290">
        <v>1445.27</v>
      </c>
      <c r="G548" s="302">
        <f t="shared" si="32"/>
        <v>7226.35</v>
      </c>
    </row>
    <row r="549" spans="1:7">
      <c r="A549" s="50"/>
      <c r="B549" s="235" t="s">
        <v>754</v>
      </c>
      <c r="C549" s="257" t="s">
        <v>114</v>
      </c>
      <c r="D549" s="9" t="s">
        <v>194</v>
      </c>
      <c r="E549" s="303">
        <v>3</v>
      </c>
      <c r="F549" s="209">
        <f>VLOOKUP(B549,[2]Plan1!A$1:D$65536,4,FALSE)</f>
        <v>705.32</v>
      </c>
      <c r="G549" s="297">
        <f t="shared" si="32"/>
        <v>2115.96</v>
      </c>
    </row>
    <row r="550" spans="1:7">
      <c r="A550" s="50"/>
      <c r="B550" s="235" t="s">
        <v>756</v>
      </c>
      <c r="C550" s="257" t="s">
        <v>116</v>
      </c>
      <c r="D550" s="9" t="s">
        <v>194</v>
      </c>
      <c r="E550" s="303">
        <v>4</v>
      </c>
      <c r="F550" s="209">
        <f>VLOOKUP(B550,[2]Plan1!A$1:D$65536,4,FALSE)</f>
        <v>1190.94</v>
      </c>
      <c r="G550" s="297">
        <f t="shared" si="32"/>
        <v>4763.76</v>
      </c>
    </row>
    <row r="551" spans="1:7" ht="12.75" customHeight="1">
      <c r="A551" s="50"/>
      <c r="B551" s="235" t="s">
        <v>760</v>
      </c>
      <c r="C551" s="257" t="s">
        <v>983</v>
      </c>
      <c r="D551" s="9" t="s">
        <v>194</v>
      </c>
      <c r="E551" s="303">
        <v>2</v>
      </c>
      <c r="F551" s="209">
        <f>VLOOKUP(B551,[2]Plan1!A$1:D$65536,4,FALSE)</f>
        <v>1402.44</v>
      </c>
      <c r="G551" s="297">
        <f t="shared" si="32"/>
        <v>2804.88</v>
      </c>
    </row>
    <row r="552" spans="1:7">
      <c r="A552" s="50"/>
      <c r="B552" s="235" t="s">
        <v>1535</v>
      </c>
      <c r="C552" s="257" t="s">
        <v>1536</v>
      </c>
      <c r="D552" s="9" t="s">
        <v>194</v>
      </c>
      <c r="E552" s="303">
        <v>1</v>
      </c>
      <c r="F552" s="209">
        <v>1889.53</v>
      </c>
      <c r="G552" s="297">
        <f t="shared" si="32"/>
        <v>1889.53</v>
      </c>
    </row>
    <row r="553" spans="1:7">
      <c r="A553" s="50"/>
      <c r="B553" s="235" t="s">
        <v>712</v>
      </c>
      <c r="C553" s="252" t="s">
        <v>118</v>
      </c>
      <c r="D553" s="9" t="s">
        <v>186</v>
      </c>
      <c r="E553" s="303">
        <v>301</v>
      </c>
      <c r="F553" s="209">
        <f>VLOOKUP(B553,[2]Plan1!A$1:D$65536,4,FALSE)</f>
        <v>82.27</v>
      </c>
      <c r="G553" s="297">
        <f t="shared" si="32"/>
        <v>24763.27</v>
      </c>
    </row>
    <row r="554" spans="1:7">
      <c r="A554" s="50"/>
      <c r="B554" s="235" t="s">
        <v>780</v>
      </c>
      <c r="C554" s="252" t="s">
        <v>119</v>
      </c>
      <c r="D554" s="9" t="s">
        <v>186</v>
      </c>
      <c r="E554" s="303">
        <v>95</v>
      </c>
      <c r="F554" s="209">
        <f>VLOOKUP(B554,[2]Plan1!A$1:D$65536,4,FALSE)</f>
        <v>83.23</v>
      </c>
      <c r="G554" s="297">
        <f t="shared" si="32"/>
        <v>7906.85</v>
      </c>
    </row>
    <row r="555" spans="1:7">
      <c r="A555" s="50"/>
      <c r="B555" s="235" t="s">
        <v>770</v>
      </c>
      <c r="C555" s="253" t="s">
        <v>286</v>
      </c>
      <c r="D555" s="1" t="s">
        <v>185</v>
      </c>
      <c r="E555" s="209">
        <v>353</v>
      </c>
      <c r="F555" s="209">
        <f>VLOOKUP(B555,[2]Plan1!A$1:D$65536,4,FALSE)</f>
        <v>43.36</v>
      </c>
      <c r="G555" s="297">
        <f t="shared" si="32"/>
        <v>15306.08</v>
      </c>
    </row>
    <row r="556" spans="1:7" ht="12.75" customHeight="1">
      <c r="A556" s="50" t="s">
        <v>615</v>
      </c>
      <c r="B556" s="235"/>
      <c r="C556" s="256" t="s">
        <v>886</v>
      </c>
      <c r="D556" s="1"/>
      <c r="E556" s="208"/>
      <c r="F556" s="296"/>
      <c r="G556" s="296">
        <f>SUM(G538:G555)</f>
        <v>231415.74</v>
      </c>
    </row>
    <row r="557" spans="1:7" ht="12.75" customHeight="1">
      <c r="A557" s="50"/>
      <c r="B557" s="234" t="s">
        <v>1541</v>
      </c>
      <c r="C557" s="263" t="s">
        <v>1537</v>
      </c>
      <c r="D557" s="174"/>
      <c r="E557" s="307"/>
      <c r="F557" s="49"/>
      <c r="G557" s="310"/>
    </row>
    <row r="558" spans="1:7" ht="12.75" customHeight="1">
      <c r="A558" s="50"/>
      <c r="B558" s="235" t="s">
        <v>735</v>
      </c>
      <c r="C558" s="271" t="s">
        <v>111</v>
      </c>
      <c r="D558" s="9" t="s">
        <v>186</v>
      </c>
      <c r="E558" s="304">
        <v>224</v>
      </c>
      <c r="F558" s="209">
        <f>VLOOKUP(B558,[2]Plan1!A$1:D$65536,4,FALSE)</f>
        <v>7.19</v>
      </c>
      <c r="G558" s="297">
        <f t="shared" ref="G558:G567" si="33">TRUNC(E558*F558,2)</f>
        <v>1610.56</v>
      </c>
    </row>
    <row r="559" spans="1:7" ht="12.75" customHeight="1">
      <c r="A559" s="50"/>
      <c r="B559" s="235" t="s">
        <v>736</v>
      </c>
      <c r="C559" s="271" t="s">
        <v>112</v>
      </c>
      <c r="D559" s="9" t="s">
        <v>186</v>
      </c>
      <c r="E559" s="304">
        <v>149</v>
      </c>
      <c r="F559" s="209">
        <f>VLOOKUP(B559,[2]Plan1!A$1:D$65536,4,FALSE)</f>
        <v>4.8</v>
      </c>
      <c r="G559" s="297">
        <f t="shared" si="33"/>
        <v>715.2</v>
      </c>
    </row>
    <row r="560" spans="1:7" ht="12.75" customHeight="1">
      <c r="A560" s="52"/>
      <c r="B560" s="235" t="s">
        <v>737</v>
      </c>
      <c r="C560" s="252" t="s">
        <v>341</v>
      </c>
      <c r="D560" s="9" t="s">
        <v>186</v>
      </c>
      <c r="E560" s="49">
        <f>E558-E559</f>
        <v>75</v>
      </c>
      <c r="F560" s="209">
        <f>VLOOKUP(B560,[2]Plan1!A$1:D$65536,4,FALSE)</f>
        <v>1.1299999999999999</v>
      </c>
      <c r="G560" s="297">
        <f t="shared" si="33"/>
        <v>84.75</v>
      </c>
    </row>
    <row r="561" spans="1:7" ht="22.5">
      <c r="A561" s="53"/>
      <c r="B561" s="235" t="s">
        <v>743</v>
      </c>
      <c r="C561" s="271" t="s">
        <v>379</v>
      </c>
      <c r="D561" s="9" t="s">
        <v>189</v>
      </c>
      <c r="E561" s="304">
        <v>120</v>
      </c>
      <c r="F561" s="209">
        <f>VLOOKUP(B561,[2]Plan1!A$1:D$65536,4,FALSE)</f>
        <v>32.950000000000003</v>
      </c>
      <c r="G561" s="297">
        <f t="shared" si="33"/>
        <v>3954</v>
      </c>
    </row>
    <row r="562" spans="1:7" ht="22.5">
      <c r="A562" s="53"/>
      <c r="B562" s="235" t="s">
        <v>744</v>
      </c>
      <c r="C562" s="271" t="s">
        <v>380</v>
      </c>
      <c r="D562" s="9" t="s">
        <v>189</v>
      </c>
      <c r="E562" s="304">
        <v>20</v>
      </c>
      <c r="F562" s="209">
        <f>VLOOKUP(B562,[2]Plan1!A$1:D$65536,4,FALSE)</f>
        <v>50.52</v>
      </c>
      <c r="G562" s="297">
        <f t="shared" si="33"/>
        <v>1010.4</v>
      </c>
    </row>
    <row r="563" spans="1:7">
      <c r="A563" s="53"/>
      <c r="B563" s="235" t="s">
        <v>752</v>
      </c>
      <c r="C563" s="271" t="s">
        <v>389</v>
      </c>
      <c r="D563" s="9" t="s">
        <v>194</v>
      </c>
      <c r="E563" s="304">
        <v>10</v>
      </c>
      <c r="F563" s="209">
        <f>VLOOKUP(B563,[2]Plan1!A$1:D$65536,4,FALSE)</f>
        <v>598.96</v>
      </c>
      <c r="G563" s="297">
        <f t="shared" si="33"/>
        <v>5989.6</v>
      </c>
    </row>
    <row r="564" spans="1:7">
      <c r="A564" s="53"/>
      <c r="B564" s="235" t="s">
        <v>754</v>
      </c>
      <c r="C564" s="271" t="s">
        <v>114</v>
      </c>
      <c r="D564" s="9" t="s">
        <v>194</v>
      </c>
      <c r="E564" s="304">
        <v>5</v>
      </c>
      <c r="F564" s="209">
        <f>VLOOKUP(B564,[2]Plan1!A$1:D$65536,4,FALSE)</f>
        <v>705.32</v>
      </c>
      <c r="G564" s="297">
        <f t="shared" si="33"/>
        <v>3526.6</v>
      </c>
    </row>
    <row r="565" spans="1:7">
      <c r="A565" s="53"/>
      <c r="B565" s="235" t="s">
        <v>760</v>
      </c>
      <c r="C565" s="271" t="s">
        <v>1533</v>
      </c>
      <c r="D565" s="9" t="s">
        <v>194</v>
      </c>
      <c r="E565" s="304">
        <v>3</v>
      </c>
      <c r="F565" s="209">
        <f>VLOOKUP(B565,[2]Plan1!A$1:D$65536,4,FALSE)</f>
        <v>1402.44</v>
      </c>
      <c r="G565" s="297">
        <f t="shared" si="33"/>
        <v>4207.32</v>
      </c>
    </row>
    <row r="566" spans="1:7">
      <c r="A566" s="53"/>
      <c r="B566" s="235" t="s">
        <v>712</v>
      </c>
      <c r="C566" s="252" t="s">
        <v>118</v>
      </c>
      <c r="D566" s="9" t="s">
        <v>186</v>
      </c>
      <c r="E566" s="304">
        <v>35</v>
      </c>
      <c r="F566" s="209">
        <f>VLOOKUP(B566,[2]Plan1!A$1:D$65536,4,FALSE)</f>
        <v>82.27</v>
      </c>
      <c r="G566" s="297">
        <f t="shared" si="33"/>
        <v>2879.45</v>
      </c>
    </row>
    <row r="567" spans="1:7" ht="11.25" customHeight="1">
      <c r="A567" s="53"/>
      <c r="B567" s="235" t="s">
        <v>780</v>
      </c>
      <c r="C567" s="252" t="s">
        <v>119</v>
      </c>
      <c r="D567" s="9" t="s">
        <v>186</v>
      </c>
      <c r="E567" s="304">
        <v>14</v>
      </c>
      <c r="F567" s="209">
        <f>VLOOKUP(B567,[2]Plan1!A$1:D$65536,4,FALSE)</f>
        <v>83.23</v>
      </c>
      <c r="G567" s="297">
        <f t="shared" si="33"/>
        <v>1165.22</v>
      </c>
    </row>
    <row r="568" spans="1:7">
      <c r="A568" s="50" t="s">
        <v>1590</v>
      </c>
      <c r="B568" s="235"/>
      <c r="C568" s="256" t="s">
        <v>886</v>
      </c>
      <c r="D568" s="3"/>
      <c r="E568" s="304"/>
      <c r="F568" s="49"/>
      <c r="G568" s="296">
        <f>SUM(G550:G567)</f>
        <v>313993.20999999996</v>
      </c>
    </row>
    <row r="569" spans="1:7">
      <c r="A569" s="53"/>
      <c r="B569" s="234" t="s">
        <v>1542</v>
      </c>
      <c r="C569" s="263" t="s">
        <v>510</v>
      </c>
      <c r="D569" s="174"/>
      <c r="E569" s="307"/>
      <c r="F569" s="49"/>
      <c r="G569" s="310"/>
    </row>
    <row r="570" spans="1:7">
      <c r="A570" s="53"/>
      <c r="B570" s="235" t="s">
        <v>735</v>
      </c>
      <c r="C570" s="271" t="s">
        <v>111</v>
      </c>
      <c r="D570" s="9" t="s">
        <v>186</v>
      </c>
      <c r="E570" s="304">
        <v>79</v>
      </c>
      <c r="F570" s="209">
        <f>VLOOKUP(B570,[2]Plan1!A$1:D$65536,4,FALSE)</f>
        <v>7.19</v>
      </c>
      <c r="G570" s="297">
        <f t="shared" ref="G570:G579" si="34">TRUNC(E570*F570,2)</f>
        <v>568.01</v>
      </c>
    </row>
    <row r="571" spans="1:7" ht="12.75" customHeight="1">
      <c r="A571" s="53"/>
      <c r="B571" s="235" t="s">
        <v>736</v>
      </c>
      <c r="C571" s="271" t="s">
        <v>112</v>
      </c>
      <c r="D571" s="9" t="s">
        <v>186</v>
      </c>
      <c r="E571" s="304">
        <v>53</v>
      </c>
      <c r="F571" s="209">
        <f>VLOOKUP(B571,[2]Plan1!A$1:D$65536,4,FALSE)</f>
        <v>4.8</v>
      </c>
      <c r="G571" s="297">
        <f t="shared" si="34"/>
        <v>254.4</v>
      </c>
    </row>
    <row r="572" spans="1:7" ht="12.75" customHeight="1">
      <c r="A572" s="53"/>
      <c r="B572" s="235" t="s">
        <v>737</v>
      </c>
      <c r="C572" s="252" t="s">
        <v>341</v>
      </c>
      <c r="D572" s="9" t="s">
        <v>186</v>
      </c>
      <c r="E572" s="49">
        <f>E570-E571</f>
        <v>26</v>
      </c>
      <c r="F572" s="209">
        <f>VLOOKUP(B572,[2]Plan1!A$1:D$65536,4,FALSE)</f>
        <v>1.1299999999999999</v>
      </c>
      <c r="G572" s="297">
        <f t="shared" si="34"/>
        <v>29.38</v>
      </c>
    </row>
    <row r="573" spans="1:7" ht="22.5">
      <c r="A573" s="53"/>
      <c r="B573" s="235" t="s">
        <v>743</v>
      </c>
      <c r="C573" s="271" t="s">
        <v>379</v>
      </c>
      <c r="D573" s="9" t="s">
        <v>189</v>
      </c>
      <c r="E573" s="304">
        <v>36</v>
      </c>
      <c r="F573" s="209">
        <f>VLOOKUP(B573,[2]Plan1!A$1:D$65536,4,FALSE)</f>
        <v>32.950000000000003</v>
      </c>
      <c r="G573" s="297">
        <f t="shared" si="34"/>
        <v>1186.2</v>
      </c>
    </row>
    <row r="574" spans="1:7" ht="22.5">
      <c r="A574" s="53"/>
      <c r="B574" s="235" t="s">
        <v>744</v>
      </c>
      <c r="C574" s="271" t="s">
        <v>380</v>
      </c>
      <c r="D574" s="9" t="s">
        <v>189</v>
      </c>
      <c r="E574" s="304">
        <v>30</v>
      </c>
      <c r="F574" s="209">
        <f>VLOOKUP(B574,[2]Plan1!A$1:D$65536,4,FALSE)</f>
        <v>50.52</v>
      </c>
      <c r="G574" s="297">
        <f t="shared" si="34"/>
        <v>1515.6</v>
      </c>
    </row>
    <row r="575" spans="1:7">
      <c r="A575" s="53"/>
      <c r="B575" s="235" t="s">
        <v>752</v>
      </c>
      <c r="C575" s="271" t="s">
        <v>389</v>
      </c>
      <c r="D575" s="9" t="s">
        <v>194</v>
      </c>
      <c r="E575" s="304">
        <v>6</v>
      </c>
      <c r="F575" s="209">
        <f>VLOOKUP(B575,[2]Plan1!A$1:D$65536,4,FALSE)</f>
        <v>598.96</v>
      </c>
      <c r="G575" s="297">
        <f t="shared" si="34"/>
        <v>3593.76</v>
      </c>
    </row>
    <row r="576" spans="1:7">
      <c r="A576" s="53"/>
      <c r="B576" s="235" t="s">
        <v>754</v>
      </c>
      <c r="C576" s="271" t="s">
        <v>114</v>
      </c>
      <c r="D576" s="9" t="s">
        <v>194</v>
      </c>
      <c r="E576" s="304">
        <v>1</v>
      </c>
      <c r="F576" s="209">
        <f>VLOOKUP(B576,[2]Plan1!A$1:D$65536,4,FALSE)</f>
        <v>705.32</v>
      </c>
      <c r="G576" s="297">
        <f t="shared" si="34"/>
        <v>705.32</v>
      </c>
    </row>
    <row r="577" spans="1:7">
      <c r="A577" s="53"/>
      <c r="B577" s="235" t="s">
        <v>760</v>
      </c>
      <c r="C577" s="271" t="s">
        <v>1533</v>
      </c>
      <c r="D577" s="9" t="s">
        <v>194</v>
      </c>
      <c r="E577" s="304">
        <v>1</v>
      </c>
      <c r="F577" s="209">
        <f>VLOOKUP(B577,[2]Plan1!A$1:D$65536,4,FALSE)</f>
        <v>1402.44</v>
      </c>
      <c r="G577" s="297">
        <f t="shared" si="34"/>
        <v>1402.44</v>
      </c>
    </row>
    <row r="578" spans="1:7">
      <c r="A578" s="53"/>
      <c r="B578" s="235" t="s">
        <v>742</v>
      </c>
      <c r="C578" s="252" t="s">
        <v>118</v>
      </c>
      <c r="D578" s="9" t="s">
        <v>186</v>
      </c>
      <c r="E578" s="304">
        <v>17</v>
      </c>
      <c r="F578" s="209">
        <f>VLOOKUP(B578,[2]Plan1!A$1:D$65536,4,FALSE)</f>
        <v>4182.84</v>
      </c>
      <c r="G578" s="297">
        <f t="shared" si="34"/>
        <v>71108.28</v>
      </c>
    </row>
    <row r="579" spans="1:7">
      <c r="A579" s="53"/>
      <c r="B579" s="235" t="s">
        <v>780</v>
      </c>
      <c r="C579" s="252" t="s">
        <v>119</v>
      </c>
      <c r="D579" s="9" t="s">
        <v>186</v>
      </c>
      <c r="E579" s="304">
        <v>7</v>
      </c>
      <c r="F579" s="209">
        <f>VLOOKUP(B579,[2]Plan1!A$1:D$65536,4,FALSE)</f>
        <v>83.23</v>
      </c>
      <c r="G579" s="297">
        <f t="shared" si="34"/>
        <v>582.61</v>
      </c>
    </row>
    <row r="580" spans="1:7">
      <c r="A580" s="50" t="s">
        <v>1591</v>
      </c>
      <c r="B580" s="235"/>
      <c r="C580" s="256" t="s">
        <v>886</v>
      </c>
      <c r="D580" s="9"/>
      <c r="E580" s="304"/>
      <c r="F580" s="49"/>
      <c r="G580" s="296">
        <f>SUM(G562:G579)</f>
        <v>413717.80000000005</v>
      </c>
    </row>
    <row r="581" spans="1:7">
      <c r="A581" s="53"/>
      <c r="B581" s="234" t="s">
        <v>1543</v>
      </c>
      <c r="C581" s="263" t="s">
        <v>504</v>
      </c>
      <c r="D581" s="174"/>
      <c r="E581" s="307"/>
      <c r="F581" s="49"/>
      <c r="G581" s="310"/>
    </row>
    <row r="582" spans="1:7">
      <c r="A582" s="53"/>
      <c r="B582" s="235" t="s">
        <v>735</v>
      </c>
      <c r="C582" s="257" t="s">
        <v>111</v>
      </c>
      <c r="D582" s="9" t="s">
        <v>186</v>
      </c>
      <c r="E582" s="304">
        <v>798</v>
      </c>
      <c r="F582" s="209">
        <f>VLOOKUP(B582,[2]Plan1!A$1:D$65536,4,FALSE)</f>
        <v>7.19</v>
      </c>
      <c r="G582" s="297">
        <f t="shared" ref="G582:G594" si="35">TRUNC(E582*F582,2)</f>
        <v>5737.62</v>
      </c>
    </row>
    <row r="583" spans="1:7">
      <c r="A583" s="53"/>
      <c r="B583" s="235" t="s">
        <v>736</v>
      </c>
      <c r="C583" s="257" t="s">
        <v>112</v>
      </c>
      <c r="D583" s="9" t="s">
        <v>186</v>
      </c>
      <c r="E583" s="304">
        <v>532</v>
      </c>
      <c r="F583" s="209">
        <f>VLOOKUP(B583,[2]Plan1!A$1:D$65536,4,FALSE)</f>
        <v>4.8</v>
      </c>
      <c r="G583" s="297">
        <f t="shared" si="35"/>
        <v>2553.6</v>
      </c>
    </row>
    <row r="584" spans="1:7">
      <c r="A584" s="53"/>
      <c r="B584" s="235" t="s">
        <v>737</v>
      </c>
      <c r="C584" s="253" t="s">
        <v>341</v>
      </c>
      <c r="D584" s="1" t="s">
        <v>186</v>
      </c>
      <c r="E584" s="49">
        <f>E582-E583</f>
        <v>266</v>
      </c>
      <c r="F584" s="209">
        <f>VLOOKUP(B584,[2]Plan1!A$1:D$65536,4,FALSE)</f>
        <v>1.1299999999999999</v>
      </c>
      <c r="G584" s="297">
        <f t="shared" si="35"/>
        <v>300.58</v>
      </c>
    </row>
    <row r="585" spans="1:7" ht="11.25" customHeight="1">
      <c r="A585" s="53"/>
      <c r="B585" s="235" t="s">
        <v>744</v>
      </c>
      <c r="C585" s="257" t="s">
        <v>380</v>
      </c>
      <c r="D585" s="9" t="s">
        <v>189</v>
      </c>
      <c r="E585" s="304">
        <v>100</v>
      </c>
      <c r="F585" s="209">
        <f>VLOOKUP(B585,[2]Plan1!A$1:D$65536,4,FALSE)</f>
        <v>50.52</v>
      </c>
      <c r="G585" s="297">
        <f t="shared" si="35"/>
        <v>5052</v>
      </c>
    </row>
    <row r="586" spans="1:7" ht="11.25" customHeight="1">
      <c r="A586" s="53"/>
      <c r="B586" s="235" t="s">
        <v>745</v>
      </c>
      <c r="C586" s="271" t="s">
        <v>1589</v>
      </c>
      <c r="D586" s="9" t="s">
        <v>189</v>
      </c>
      <c r="E586" s="304">
        <v>276</v>
      </c>
      <c r="F586" s="209">
        <f>VLOOKUP(B586,[2]Plan1!A$1:D$65536,4,FALSE)</f>
        <v>59.51</v>
      </c>
      <c r="G586" s="297">
        <f t="shared" si="35"/>
        <v>16424.759999999998</v>
      </c>
    </row>
    <row r="587" spans="1:7">
      <c r="A587" s="53"/>
      <c r="B587" s="235" t="s">
        <v>746</v>
      </c>
      <c r="C587" s="271" t="s">
        <v>382</v>
      </c>
      <c r="D587" s="9" t="s">
        <v>189</v>
      </c>
      <c r="E587" s="304">
        <v>23</v>
      </c>
      <c r="F587" s="209">
        <f>VLOOKUP(B587,[2]Plan1!A$1:D$65536,4,FALSE)</f>
        <v>92.95</v>
      </c>
      <c r="G587" s="297">
        <f t="shared" si="35"/>
        <v>2137.85</v>
      </c>
    </row>
    <row r="588" spans="1:7">
      <c r="A588" s="53"/>
      <c r="B588" s="235" t="s">
        <v>752</v>
      </c>
      <c r="C588" s="257" t="s">
        <v>389</v>
      </c>
      <c r="D588" s="9" t="s">
        <v>194</v>
      </c>
      <c r="E588" s="304">
        <v>16</v>
      </c>
      <c r="F588" s="209">
        <f>VLOOKUP(B588,[2]Plan1!A$1:D$65536,4,FALSE)</f>
        <v>598.96</v>
      </c>
      <c r="G588" s="297">
        <f t="shared" si="35"/>
        <v>9583.36</v>
      </c>
    </row>
    <row r="589" spans="1:7">
      <c r="A589" s="53"/>
      <c r="B589" s="235" t="s">
        <v>753</v>
      </c>
      <c r="C589" s="257" t="s">
        <v>113</v>
      </c>
      <c r="D589" s="9" t="s">
        <v>194</v>
      </c>
      <c r="E589" s="304">
        <v>2</v>
      </c>
      <c r="F589" s="209">
        <f>VLOOKUP(B589,[2]Plan1!A$1:D$65536,4,FALSE)</f>
        <v>950.52</v>
      </c>
      <c r="G589" s="297">
        <f t="shared" si="35"/>
        <v>1901.04</v>
      </c>
    </row>
    <row r="590" spans="1:7">
      <c r="A590" s="53"/>
      <c r="B590" s="235" t="s">
        <v>755</v>
      </c>
      <c r="C590" s="271" t="s">
        <v>115</v>
      </c>
      <c r="D590" s="9" t="s">
        <v>194</v>
      </c>
      <c r="E590" s="304">
        <v>9</v>
      </c>
      <c r="F590" s="209">
        <f>VLOOKUP(B590,[2]Plan1!A$1:D$65536,4,FALSE)</f>
        <v>857.44</v>
      </c>
      <c r="G590" s="297">
        <f t="shared" si="35"/>
        <v>7716.96</v>
      </c>
    </row>
    <row r="591" spans="1:7">
      <c r="A591" s="53"/>
      <c r="B591" s="235" t="s">
        <v>760</v>
      </c>
      <c r="C591" s="257" t="s">
        <v>983</v>
      </c>
      <c r="D591" s="9" t="s">
        <v>194</v>
      </c>
      <c r="E591" s="304">
        <v>5</v>
      </c>
      <c r="F591" s="209">
        <f>VLOOKUP(B591,[2]Plan1!A$1:D$65536,4,FALSE)</f>
        <v>1402.44</v>
      </c>
      <c r="G591" s="297">
        <f t="shared" si="35"/>
        <v>7012.2</v>
      </c>
    </row>
    <row r="592" spans="1:7">
      <c r="A592" s="53"/>
      <c r="B592" s="235" t="s">
        <v>742</v>
      </c>
      <c r="C592" s="252" t="s">
        <v>118</v>
      </c>
      <c r="D592" s="9" t="s">
        <v>186</v>
      </c>
      <c r="E592" s="304">
        <v>100</v>
      </c>
      <c r="F592" s="209">
        <f>VLOOKUP(B592,[2]Plan1!A$1:D$65536,4,FALSE)</f>
        <v>4182.84</v>
      </c>
      <c r="G592" s="297">
        <f t="shared" si="35"/>
        <v>418284</v>
      </c>
    </row>
    <row r="593" spans="1:7">
      <c r="A593" s="52"/>
      <c r="B593" s="235" t="s">
        <v>780</v>
      </c>
      <c r="C593" s="252" t="s">
        <v>119</v>
      </c>
      <c r="D593" s="9" t="s">
        <v>186</v>
      </c>
      <c r="E593" s="304">
        <v>40</v>
      </c>
      <c r="F593" s="209">
        <f>VLOOKUP(B593,[2]Plan1!A$1:D$65536,4,FALSE)</f>
        <v>83.23</v>
      </c>
      <c r="G593" s="297">
        <f t="shared" si="35"/>
        <v>3329.2</v>
      </c>
    </row>
    <row r="594" spans="1:7">
      <c r="A594" s="52"/>
      <c r="B594" s="235" t="s">
        <v>1574</v>
      </c>
      <c r="C594" s="253" t="s">
        <v>1538</v>
      </c>
      <c r="D594" s="1" t="s">
        <v>194</v>
      </c>
      <c r="E594" s="49">
        <v>2</v>
      </c>
      <c r="F594" s="49">
        <v>766.23</v>
      </c>
      <c r="G594" s="297">
        <f t="shared" si="35"/>
        <v>1532.46</v>
      </c>
    </row>
    <row r="595" spans="1:7">
      <c r="A595" s="50" t="s">
        <v>1592</v>
      </c>
      <c r="B595" s="235"/>
      <c r="C595" s="256" t="s">
        <v>886</v>
      </c>
      <c r="D595" s="9"/>
      <c r="E595" s="49"/>
      <c r="F595" s="49"/>
      <c r="G595" s="296">
        <f>SUM(G577:G594)</f>
        <v>968376.75999999989</v>
      </c>
    </row>
    <row r="596" spans="1:7">
      <c r="A596" s="52"/>
      <c r="B596" s="234" t="s">
        <v>1544</v>
      </c>
      <c r="C596" s="263" t="s">
        <v>1539</v>
      </c>
      <c r="D596" s="174"/>
      <c r="E596" s="307"/>
      <c r="F596" s="49"/>
      <c r="G596" s="310"/>
    </row>
    <row r="597" spans="1:7">
      <c r="A597" s="52"/>
      <c r="B597" s="235" t="s">
        <v>735</v>
      </c>
      <c r="C597" s="257" t="s">
        <v>111</v>
      </c>
      <c r="D597" s="9" t="s">
        <v>186</v>
      </c>
      <c r="E597" s="304">
        <v>256</v>
      </c>
      <c r="F597" s="209">
        <f>VLOOKUP(B597,[2]Plan1!A$1:D$65536,4,FALSE)</f>
        <v>7.19</v>
      </c>
      <c r="G597" s="297">
        <f t="shared" ref="G597:G606" si="36">TRUNC(E597*F597,2)</f>
        <v>1840.64</v>
      </c>
    </row>
    <row r="598" spans="1:7">
      <c r="A598" s="52"/>
      <c r="B598" s="235" t="s">
        <v>736</v>
      </c>
      <c r="C598" s="257" t="s">
        <v>112</v>
      </c>
      <c r="D598" s="9" t="s">
        <v>186</v>
      </c>
      <c r="E598" s="304">
        <v>171</v>
      </c>
      <c r="F598" s="209">
        <f>VLOOKUP(B598,[2]Plan1!A$1:D$65536,4,FALSE)</f>
        <v>4.8</v>
      </c>
      <c r="G598" s="297">
        <f t="shared" si="36"/>
        <v>820.8</v>
      </c>
    </row>
    <row r="599" spans="1:7">
      <c r="A599" s="52"/>
      <c r="B599" s="235" t="s">
        <v>737</v>
      </c>
      <c r="C599" s="253" t="s">
        <v>341</v>
      </c>
      <c r="D599" s="1" t="s">
        <v>186</v>
      </c>
      <c r="E599" s="49">
        <f>E597-E598</f>
        <v>85</v>
      </c>
      <c r="F599" s="209">
        <f>VLOOKUP(B599,[2]Plan1!A$1:D$65536,4,FALSE)</f>
        <v>1.1299999999999999</v>
      </c>
      <c r="G599" s="297">
        <f t="shared" si="36"/>
        <v>96.05</v>
      </c>
    </row>
    <row r="600" spans="1:7" ht="11.25" customHeight="1">
      <c r="A600" s="52"/>
      <c r="B600" s="235" t="s">
        <v>743</v>
      </c>
      <c r="C600" s="257" t="s">
        <v>379</v>
      </c>
      <c r="D600" s="9" t="s">
        <v>189</v>
      </c>
      <c r="E600" s="304">
        <v>88</v>
      </c>
      <c r="F600" s="209">
        <f>VLOOKUP(B600,[2]Plan1!A$1:D$65536,4,FALSE)</f>
        <v>32.950000000000003</v>
      </c>
      <c r="G600" s="297">
        <f t="shared" si="36"/>
        <v>2899.6</v>
      </c>
    </row>
    <row r="601" spans="1:7" ht="11.25" customHeight="1">
      <c r="A601" s="52"/>
      <c r="B601" s="235" t="s">
        <v>744</v>
      </c>
      <c r="C601" s="257" t="s">
        <v>380</v>
      </c>
      <c r="D601" s="9" t="s">
        <v>189</v>
      </c>
      <c r="E601" s="304">
        <v>40</v>
      </c>
      <c r="F601" s="209">
        <f>VLOOKUP(B601,[2]Plan1!A$1:D$65536,4,FALSE)</f>
        <v>50.52</v>
      </c>
      <c r="G601" s="297">
        <f t="shared" si="36"/>
        <v>2020.8</v>
      </c>
    </row>
    <row r="602" spans="1:7">
      <c r="A602" s="52"/>
      <c r="B602" s="235" t="s">
        <v>752</v>
      </c>
      <c r="C602" s="257" t="s">
        <v>389</v>
      </c>
      <c r="D602" s="9" t="s">
        <v>194</v>
      </c>
      <c r="E602" s="304">
        <v>8</v>
      </c>
      <c r="F602" s="209">
        <f>VLOOKUP(B602,[2]Plan1!A$1:D$65536,4,FALSE)</f>
        <v>598.96</v>
      </c>
      <c r="G602" s="297">
        <f t="shared" si="36"/>
        <v>4791.68</v>
      </c>
    </row>
    <row r="603" spans="1:7">
      <c r="A603" s="52"/>
      <c r="B603" s="235" t="s">
        <v>754</v>
      </c>
      <c r="C603" s="257" t="s">
        <v>114</v>
      </c>
      <c r="D603" s="9" t="s">
        <v>194</v>
      </c>
      <c r="E603" s="304">
        <v>4</v>
      </c>
      <c r="F603" s="209">
        <f>VLOOKUP(B603,[2]Plan1!A$1:D$65536,4,FALSE)</f>
        <v>705.32</v>
      </c>
      <c r="G603" s="297">
        <f t="shared" si="36"/>
        <v>2821.28</v>
      </c>
    </row>
    <row r="604" spans="1:7">
      <c r="A604" s="52"/>
      <c r="B604" s="235" t="s">
        <v>760</v>
      </c>
      <c r="C604" s="257" t="s">
        <v>1533</v>
      </c>
      <c r="D604" s="9" t="s">
        <v>194</v>
      </c>
      <c r="E604" s="304">
        <v>3</v>
      </c>
      <c r="F604" s="209">
        <f>VLOOKUP(B604,[2]Plan1!A$1:D$65536,4,FALSE)</f>
        <v>1402.44</v>
      </c>
      <c r="G604" s="297">
        <f t="shared" si="36"/>
        <v>4207.32</v>
      </c>
    </row>
    <row r="605" spans="1:7">
      <c r="A605" s="52"/>
      <c r="B605" s="235" t="s">
        <v>742</v>
      </c>
      <c r="C605" s="252" t="s">
        <v>118</v>
      </c>
      <c r="D605" s="9" t="s">
        <v>186</v>
      </c>
      <c r="E605" s="304">
        <v>32</v>
      </c>
      <c r="F605" s="209">
        <f>VLOOKUP(B605,[2]Plan1!A$1:D$65536,4,FALSE)</f>
        <v>4182.84</v>
      </c>
      <c r="G605" s="297">
        <f t="shared" si="36"/>
        <v>133850.88</v>
      </c>
    </row>
    <row r="606" spans="1:7">
      <c r="A606" s="50"/>
      <c r="B606" s="235" t="s">
        <v>780</v>
      </c>
      <c r="C606" s="252" t="s">
        <v>119</v>
      </c>
      <c r="D606" s="9" t="s">
        <v>186</v>
      </c>
      <c r="E606" s="304">
        <v>13</v>
      </c>
      <c r="F606" s="209">
        <f>VLOOKUP(B606,[2]Plan1!A$1:D$65536,4,FALSE)</f>
        <v>83.23</v>
      </c>
      <c r="G606" s="297">
        <f t="shared" si="36"/>
        <v>1081.99</v>
      </c>
    </row>
    <row r="607" spans="1:7">
      <c r="A607" s="50" t="s">
        <v>1593</v>
      </c>
      <c r="B607" s="235"/>
      <c r="C607" s="256" t="s">
        <v>886</v>
      </c>
      <c r="D607" s="1"/>
      <c r="E607" s="49"/>
      <c r="F607" s="49"/>
      <c r="G607" s="296">
        <f>SUM(G589:G606)</f>
        <v>1562583.66</v>
      </c>
    </row>
    <row r="608" spans="1:7">
      <c r="A608" s="50"/>
      <c r="B608" s="234" t="s">
        <v>1545</v>
      </c>
      <c r="C608" s="263" t="s">
        <v>512</v>
      </c>
      <c r="D608" s="174"/>
      <c r="E608" s="307"/>
      <c r="F608" s="49"/>
      <c r="G608" s="310"/>
    </row>
    <row r="609" spans="1:7">
      <c r="A609" s="50"/>
      <c r="B609" s="235" t="s">
        <v>735</v>
      </c>
      <c r="C609" s="257" t="s">
        <v>111</v>
      </c>
      <c r="D609" s="9" t="s">
        <v>186</v>
      </c>
      <c r="E609" s="304">
        <v>352</v>
      </c>
      <c r="F609" s="209">
        <f>VLOOKUP(B609,[2]Plan1!A$1:D$65536,4,FALSE)</f>
        <v>7.19</v>
      </c>
      <c r="G609" s="297">
        <f t="shared" ref="G609:G624" si="37">TRUNC(E609*F609,2)</f>
        <v>2530.88</v>
      </c>
    </row>
    <row r="610" spans="1:7">
      <c r="A610" s="50"/>
      <c r="B610" s="235" t="s">
        <v>736</v>
      </c>
      <c r="C610" s="257" t="s">
        <v>112</v>
      </c>
      <c r="D610" s="9" t="s">
        <v>186</v>
      </c>
      <c r="E610" s="304">
        <v>234</v>
      </c>
      <c r="F610" s="209">
        <f>VLOOKUP(B610,[2]Plan1!A$1:D$65536,4,FALSE)</f>
        <v>4.8</v>
      </c>
      <c r="G610" s="297">
        <f t="shared" si="37"/>
        <v>1123.2</v>
      </c>
    </row>
    <row r="611" spans="1:7" ht="12.75" customHeight="1">
      <c r="A611" s="50"/>
      <c r="B611" s="235" t="s">
        <v>737</v>
      </c>
      <c r="C611" s="253" t="s">
        <v>341</v>
      </c>
      <c r="D611" s="1" t="s">
        <v>186</v>
      </c>
      <c r="E611" s="49">
        <f>E609-E610</f>
        <v>118</v>
      </c>
      <c r="F611" s="209">
        <f>VLOOKUP(B611,[2]Plan1!A$1:D$65536,4,FALSE)</f>
        <v>1.1299999999999999</v>
      </c>
      <c r="G611" s="297">
        <f t="shared" si="37"/>
        <v>133.34</v>
      </c>
    </row>
    <row r="612" spans="1:7" ht="11.25" customHeight="1">
      <c r="A612" s="50"/>
      <c r="B612" s="235" t="s">
        <v>743</v>
      </c>
      <c r="C612" s="257" t="s">
        <v>379</v>
      </c>
      <c r="D612" s="9" t="s">
        <v>189</v>
      </c>
      <c r="E612" s="304">
        <v>42</v>
      </c>
      <c r="F612" s="209">
        <f>VLOOKUP(B612,[2]Plan1!A$1:D$65536,4,FALSE)</f>
        <v>32.950000000000003</v>
      </c>
      <c r="G612" s="297">
        <f t="shared" si="37"/>
        <v>1383.9</v>
      </c>
    </row>
    <row r="613" spans="1:7" ht="12.75" customHeight="1">
      <c r="A613" s="51"/>
      <c r="B613" s="235" t="s">
        <v>744</v>
      </c>
      <c r="C613" s="257" t="s">
        <v>380</v>
      </c>
      <c r="D613" s="9" t="s">
        <v>189</v>
      </c>
      <c r="E613" s="304">
        <v>60</v>
      </c>
      <c r="F613" s="209">
        <f>VLOOKUP(B613,[2]Plan1!A$1:D$65536,4,FALSE)</f>
        <v>50.52</v>
      </c>
      <c r="G613" s="297">
        <f t="shared" si="37"/>
        <v>3031.2</v>
      </c>
    </row>
    <row r="614" spans="1:7" ht="12.75" customHeight="1">
      <c r="A614" s="50"/>
      <c r="B614" s="235" t="s">
        <v>748</v>
      </c>
      <c r="C614" s="271" t="s">
        <v>385</v>
      </c>
      <c r="D614" s="9" t="s">
        <v>189</v>
      </c>
      <c r="E614" s="304">
        <v>45</v>
      </c>
      <c r="F614" s="209">
        <f>VLOOKUP(B614,[2]Plan1!A$1:D$65536,4,FALSE)</f>
        <v>218.33</v>
      </c>
      <c r="G614" s="297">
        <f t="shared" si="37"/>
        <v>9824.85</v>
      </c>
    </row>
    <row r="615" spans="1:7" ht="12.75" customHeight="1">
      <c r="A615" s="50"/>
      <c r="B615" s="235" t="s">
        <v>752</v>
      </c>
      <c r="C615" s="257" t="s">
        <v>389</v>
      </c>
      <c r="D615" s="9" t="s">
        <v>194</v>
      </c>
      <c r="E615" s="304">
        <v>12</v>
      </c>
      <c r="F615" s="209">
        <f>VLOOKUP(B615,[2]Plan1!A$1:D$65536,4,FALSE)</f>
        <v>598.96</v>
      </c>
      <c r="G615" s="297">
        <f t="shared" si="37"/>
        <v>7187.52</v>
      </c>
    </row>
    <row r="616" spans="1:7" ht="12.75" customHeight="1">
      <c r="A616" s="50"/>
      <c r="B616" s="235" t="s">
        <v>754</v>
      </c>
      <c r="C616" s="257" t="s">
        <v>114</v>
      </c>
      <c r="D616" s="9" t="s">
        <v>194</v>
      </c>
      <c r="E616" s="304">
        <v>1</v>
      </c>
      <c r="F616" s="209">
        <f>VLOOKUP(B616,[2]Plan1!A$1:D$65536,4,FALSE)</f>
        <v>705.32</v>
      </c>
      <c r="G616" s="297">
        <f t="shared" si="37"/>
        <v>705.32</v>
      </c>
    </row>
    <row r="617" spans="1:7" ht="12.75" customHeight="1">
      <c r="A617" s="50"/>
      <c r="B617" s="235" t="s">
        <v>755</v>
      </c>
      <c r="C617" s="271" t="s">
        <v>115</v>
      </c>
      <c r="D617" s="9" t="s">
        <v>194</v>
      </c>
      <c r="E617" s="304">
        <v>2</v>
      </c>
      <c r="F617" s="209">
        <f>VLOOKUP(B617,[2]Plan1!A$1:D$65536,4,FALSE)</f>
        <v>857.44</v>
      </c>
      <c r="G617" s="297">
        <f t="shared" si="37"/>
        <v>1714.88</v>
      </c>
    </row>
    <row r="618" spans="1:7" ht="12.75" customHeight="1">
      <c r="A618" s="50"/>
      <c r="B618" s="235" t="s">
        <v>757</v>
      </c>
      <c r="C618" s="257" t="s">
        <v>616</v>
      </c>
      <c r="D618" s="9" t="s">
        <v>194</v>
      </c>
      <c r="E618" s="304">
        <v>1</v>
      </c>
      <c r="F618" s="209">
        <f>VLOOKUP(B618,[2]Plan1!A$1:D$65536,4,FALSE)</f>
        <v>1385.3</v>
      </c>
      <c r="G618" s="297">
        <f t="shared" si="37"/>
        <v>1385.3</v>
      </c>
    </row>
    <row r="619" spans="1:7" ht="12.75" customHeight="1">
      <c r="A619" s="50"/>
      <c r="B619" s="235" t="s">
        <v>760</v>
      </c>
      <c r="C619" s="257" t="s">
        <v>1533</v>
      </c>
      <c r="D619" s="9" t="s">
        <v>194</v>
      </c>
      <c r="E619" s="304">
        <v>1</v>
      </c>
      <c r="F619" s="209">
        <f>VLOOKUP(B619,[2]Plan1!A$1:D$65536,4,FALSE)</f>
        <v>1402.44</v>
      </c>
      <c r="G619" s="297">
        <f t="shared" si="37"/>
        <v>1402.44</v>
      </c>
    </row>
    <row r="620" spans="1:7" ht="12.75" customHeight="1">
      <c r="A620" s="50"/>
      <c r="B620" s="235" t="s">
        <v>760</v>
      </c>
      <c r="C620" s="257" t="s">
        <v>983</v>
      </c>
      <c r="D620" s="9" t="s">
        <v>194</v>
      </c>
      <c r="E620" s="304">
        <v>2</v>
      </c>
      <c r="F620" s="209">
        <f>VLOOKUP(B620,[2]Plan1!A$1:D$65536,4,FALSE)</f>
        <v>1402.44</v>
      </c>
      <c r="G620" s="297">
        <f t="shared" si="37"/>
        <v>2804.88</v>
      </c>
    </row>
    <row r="621" spans="1:7">
      <c r="A621" s="50"/>
      <c r="B621" s="235" t="s">
        <v>1535</v>
      </c>
      <c r="C621" s="257" t="s">
        <v>1534</v>
      </c>
      <c r="D621" s="9" t="s">
        <v>194</v>
      </c>
      <c r="E621" s="304">
        <v>2</v>
      </c>
      <c r="F621" s="209">
        <f>VLOOKUP(B621,[2]Plan1!A$1:D$65536,4,FALSE)</f>
        <v>1741.91</v>
      </c>
      <c r="G621" s="297">
        <f t="shared" si="37"/>
        <v>3483.82</v>
      </c>
    </row>
    <row r="622" spans="1:7" ht="12.75" customHeight="1">
      <c r="A622" s="50"/>
      <c r="B622" s="235" t="s">
        <v>742</v>
      </c>
      <c r="C622" s="252" t="s">
        <v>118</v>
      </c>
      <c r="D622" s="9" t="s">
        <v>186</v>
      </c>
      <c r="E622" s="304">
        <v>45</v>
      </c>
      <c r="F622" s="209">
        <f>VLOOKUP(B622,[2]Plan1!A$1:D$65536,4,FALSE)</f>
        <v>4182.84</v>
      </c>
      <c r="G622" s="297">
        <f t="shared" si="37"/>
        <v>188227.8</v>
      </c>
    </row>
    <row r="623" spans="1:7" ht="11.25" customHeight="1">
      <c r="A623" s="50"/>
      <c r="B623" s="235" t="s">
        <v>780</v>
      </c>
      <c r="C623" s="252" t="s">
        <v>119</v>
      </c>
      <c r="D623" s="9" t="s">
        <v>186</v>
      </c>
      <c r="E623" s="304">
        <v>15</v>
      </c>
      <c r="F623" s="209">
        <f>VLOOKUP(B623,[2]Plan1!A$1:D$65536,4,FALSE)</f>
        <v>83.23</v>
      </c>
      <c r="G623" s="297">
        <f t="shared" si="37"/>
        <v>1248.45</v>
      </c>
    </row>
    <row r="624" spans="1:7">
      <c r="A624" s="50"/>
      <c r="B624" s="240" t="s">
        <v>1587</v>
      </c>
      <c r="C624" s="253" t="s">
        <v>1538</v>
      </c>
      <c r="D624" s="1" t="s">
        <v>194</v>
      </c>
      <c r="E624" s="304">
        <v>1</v>
      </c>
      <c r="F624" s="93">
        <f>VLOOKUP(B624,dre!A:AR,41,FALSE)</f>
        <v>661.87</v>
      </c>
      <c r="G624" s="297">
        <f t="shared" si="37"/>
        <v>661.87</v>
      </c>
    </row>
    <row r="625" spans="1:7">
      <c r="A625" s="50"/>
      <c r="B625" s="235" t="s">
        <v>1576</v>
      </c>
      <c r="C625" s="253" t="s">
        <v>1540</v>
      </c>
      <c r="D625" s="1" t="s">
        <v>194</v>
      </c>
      <c r="E625" s="304">
        <v>1</v>
      </c>
      <c r="F625" s="93">
        <f>VLOOKUP(B625,dre!A:AR,41,FALSE)</f>
        <v>1717.32</v>
      </c>
      <c r="G625" s="310"/>
    </row>
    <row r="626" spans="1:7">
      <c r="A626" s="50" t="s">
        <v>1594</v>
      </c>
      <c r="B626" s="235"/>
      <c r="C626" s="256" t="s">
        <v>886</v>
      </c>
      <c r="D626" s="1"/>
      <c r="E626" s="208"/>
      <c r="F626" s="308"/>
      <c r="G626" s="296">
        <f>SUM(G608:G625)</f>
        <v>226849.65</v>
      </c>
    </row>
    <row r="627" spans="1:7">
      <c r="A627" s="50" t="s">
        <v>159</v>
      </c>
      <c r="B627" s="235"/>
      <c r="C627" s="256" t="s">
        <v>144</v>
      </c>
      <c r="D627" s="1"/>
      <c r="E627" s="208"/>
      <c r="F627" s="308"/>
      <c r="G627" s="296">
        <f>G438+G484+G520+G536+G556+G568+G580+G595+G607+G626</f>
        <v>8641109.5299999993</v>
      </c>
    </row>
    <row r="628" spans="1:7">
      <c r="A628" s="50"/>
      <c r="B628" s="235"/>
      <c r="C628" s="256"/>
      <c r="D628" s="1"/>
      <c r="E628" s="208"/>
      <c r="F628" s="308"/>
      <c r="G628" s="296"/>
    </row>
    <row r="629" spans="1:7">
      <c r="A629" s="50">
        <v>5</v>
      </c>
      <c r="B629" s="233">
        <v>5</v>
      </c>
      <c r="C629" s="254" t="s">
        <v>120</v>
      </c>
      <c r="D629" s="170"/>
      <c r="E629" s="178"/>
      <c r="F629" s="178"/>
      <c r="G629" s="178"/>
    </row>
    <row r="630" spans="1:7">
      <c r="A630" s="50"/>
      <c r="B630" s="235"/>
      <c r="C630" s="260" t="s">
        <v>121</v>
      </c>
      <c r="D630" s="26"/>
      <c r="E630" s="303"/>
      <c r="F630" s="311" t="s">
        <v>122</v>
      </c>
      <c r="G630" s="296"/>
    </row>
    <row r="631" spans="1:7" ht="12" customHeight="1">
      <c r="A631" s="50"/>
      <c r="B631" s="234"/>
      <c r="C631" s="260" t="s">
        <v>1546</v>
      </c>
      <c r="D631" s="27"/>
      <c r="E631" s="303"/>
      <c r="F631" s="297"/>
      <c r="G631" s="297"/>
    </row>
    <row r="632" spans="1:7" ht="12" customHeight="1">
      <c r="A632" s="50"/>
      <c r="B632" s="235" t="s">
        <v>769</v>
      </c>
      <c r="C632" s="253" t="s">
        <v>1547</v>
      </c>
      <c r="D632" s="1" t="s">
        <v>185</v>
      </c>
      <c r="E632" s="303">
        <v>3934</v>
      </c>
      <c r="F632" s="209">
        <v>3.42</v>
      </c>
      <c r="G632" s="297">
        <f t="shared" ref="G632:G655" si="38">TRUNC(E632*F632,2)</f>
        <v>13454.28</v>
      </c>
    </row>
    <row r="633" spans="1:7" ht="23.1" customHeight="1">
      <c r="A633" s="50"/>
      <c r="B633" s="241" t="s">
        <v>768</v>
      </c>
      <c r="C633" s="252" t="s">
        <v>336</v>
      </c>
      <c r="D633" s="28" t="s">
        <v>185</v>
      </c>
      <c r="E633" s="297">
        <v>3094</v>
      </c>
      <c r="F633" s="209">
        <v>55.1</v>
      </c>
      <c r="G633" s="297">
        <f>TRUNC(E633*F633,2)</f>
        <v>170479.4</v>
      </c>
    </row>
    <row r="634" spans="1:7" ht="23.1" customHeight="1">
      <c r="A634" s="50"/>
      <c r="B634" s="240" t="s">
        <v>1548</v>
      </c>
      <c r="C634" s="253" t="s">
        <v>1549</v>
      </c>
      <c r="D634" s="1" t="s">
        <v>185</v>
      </c>
      <c r="E634" s="297">
        <v>255</v>
      </c>
      <c r="F634" s="209">
        <v>62.44</v>
      </c>
      <c r="G634" s="297">
        <f>TRUNC(E634*F634,2)</f>
        <v>15922.2</v>
      </c>
    </row>
    <row r="635" spans="1:7" ht="23.1" customHeight="1">
      <c r="A635" s="50"/>
      <c r="B635" s="240" t="s">
        <v>988</v>
      </c>
      <c r="C635" s="253" t="s">
        <v>989</v>
      </c>
      <c r="D635" s="1" t="s">
        <v>185</v>
      </c>
      <c r="E635" s="297">
        <v>100</v>
      </c>
      <c r="F635" s="209">
        <v>63.28</v>
      </c>
      <c r="G635" s="297">
        <f>TRUNC(E635*F635,2)</f>
        <v>6328</v>
      </c>
    </row>
    <row r="636" spans="1:7" ht="23.1" customHeight="1">
      <c r="A636" s="50"/>
      <c r="B636" s="235" t="s">
        <v>1550</v>
      </c>
      <c r="C636" s="253" t="s">
        <v>1588</v>
      </c>
      <c r="D636" s="1" t="s">
        <v>185</v>
      </c>
      <c r="E636" s="49">
        <v>95</v>
      </c>
      <c r="F636" s="209">
        <v>72.069999999999993</v>
      </c>
      <c r="G636" s="297">
        <f t="shared" si="38"/>
        <v>6846.65</v>
      </c>
    </row>
    <row r="637" spans="1:7" ht="12" customHeight="1">
      <c r="A637" s="50"/>
      <c r="B637" s="235" t="s">
        <v>990</v>
      </c>
      <c r="C637" s="253" t="s">
        <v>1551</v>
      </c>
      <c r="D637" s="1" t="s">
        <v>189</v>
      </c>
      <c r="E637" s="49">
        <v>630</v>
      </c>
      <c r="F637" s="209">
        <v>23.21</v>
      </c>
      <c r="G637" s="297">
        <f t="shared" si="38"/>
        <v>14622.3</v>
      </c>
    </row>
    <row r="638" spans="1:7" ht="12" customHeight="1">
      <c r="A638" s="50"/>
      <c r="B638" s="239" t="s">
        <v>1370</v>
      </c>
      <c r="C638" s="293" t="s">
        <v>1641</v>
      </c>
      <c r="D638" s="251" t="s">
        <v>186</v>
      </c>
      <c r="E638" s="290">
        <v>29.25</v>
      </c>
      <c r="F638" s="301">
        <v>94.06</v>
      </c>
      <c r="G638" s="302">
        <f t="shared" si="38"/>
        <v>2751.25</v>
      </c>
    </row>
    <row r="639" spans="1:7" ht="12" customHeight="1">
      <c r="A639" s="50"/>
      <c r="B639" s="235" t="s">
        <v>767</v>
      </c>
      <c r="C639" s="272" t="s">
        <v>1552</v>
      </c>
      <c r="D639" s="29" t="s">
        <v>186</v>
      </c>
      <c r="E639" s="209">
        <v>19.5</v>
      </c>
      <c r="F639" s="209">
        <v>424.39</v>
      </c>
      <c r="G639" s="297">
        <f t="shared" si="38"/>
        <v>8275.6</v>
      </c>
    </row>
    <row r="640" spans="1:7" ht="12" customHeight="1">
      <c r="A640" s="50"/>
      <c r="B640" s="235" t="s">
        <v>729</v>
      </c>
      <c r="C640" s="272" t="s">
        <v>1369</v>
      </c>
      <c r="D640" s="29" t="s">
        <v>185</v>
      </c>
      <c r="E640" s="209">
        <v>390</v>
      </c>
      <c r="F640" s="208">
        <v>3.08</v>
      </c>
      <c r="G640" s="297">
        <f t="shared" si="38"/>
        <v>1201.2</v>
      </c>
    </row>
    <row r="641" spans="1:7" ht="12" customHeight="1">
      <c r="A641" s="50"/>
      <c r="B641" s="235" t="s">
        <v>1370</v>
      </c>
      <c r="C641" s="272" t="s">
        <v>1553</v>
      </c>
      <c r="D641" s="29" t="s">
        <v>186</v>
      </c>
      <c r="E641" s="209">
        <v>78</v>
      </c>
      <c r="F641" s="209">
        <v>94.06</v>
      </c>
      <c r="G641" s="297">
        <f t="shared" si="38"/>
        <v>7336.68</v>
      </c>
    </row>
    <row r="642" spans="1:7" ht="12" customHeight="1">
      <c r="A642" s="50"/>
      <c r="B642" s="235" t="s">
        <v>1371</v>
      </c>
      <c r="C642" s="252" t="s">
        <v>1554</v>
      </c>
      <c r="D642" s="28" t="s">
        <v>189</v>
      </c>
      <c r="E642" s="209">
        <v>250</v>
      </c>
      <c r="F642" s="209">
        <v>30.01</v>
      </c>
      <c r="G642" s="297">
        <f t="shared" si="38"/>
        <v>7502.5</v>
      </c>
    </row>
    <row r="643" spans="1:7" ht="33.75">
      <c r="A643" s="50"/>
      <c r="B643" s="239" t="s">
        <v>1599</v>
      </c>
      <c r="C643" s="273" t="s">
        <v>1555</v>
      </c>
      <c r="D643" s="230" t="s">
        <v>194</v>
      </c>
      <c r="E643" s="301">
        <v>11</v>
      </c>
      <c r="F643" s="306">
        <v>231.72</v>
      </c>
      <c r="G643" s="302">
        <f t="shared" si="38"/>
        <v>2548.92</v>
      </c>
    </row>
    <row r="644" spans="1:7" ht="12" customHeight="1">
      <c r="A644" s="50"/>
      <c r="B644" s="235">
        <v>4064</v>
      </c>
      <c r="C644" s="258" t="s">
        <v>476</v>
      </c>
      <c r="D644" s="27" t="s">
        <v>194</v>
      </c>
      <c r="E644" s="93">
        <v>6</v>
      </c>
      <c r="F644" s="297">
        <v>85.48</v>
      </c>
      <c r="G644" s="297">
        <f t="shared" si="38"/>
        <v>512.88</v>
      </c>
    </row>
    <row r="645" spans="1:7" ht="12" customHeight="1">
      <c r="A645" s="50"/>
      <c r="B645" s="235" t="s">
        <v>1599</v>
      </c>
      <c r="C645" s="274" t="s">
        <v>1556</v>
      </c>
      <c r="D645" s="26" t="s">
        <v>185</v>
      </c>
      <c r="E645" s="209">
        <v>57</v>
      </c>
      <c r="F645" s="209">
        <v>231.72</v>
      </c>
      <c r="G645" s="297">
        <f t="shared" si="38"/>
        <v>13208.04</v>
      </c>
    </row>
    <row r="646" spans="1:7" ht="12" customHeight="1">
      <c r="B646" s="235"/>
      <c r="C646" s="274" t="s">
        <v>1557</v>
      </c>
      <c r="D646" s="26" t="s">
        <v>185</v>
      </c>
      <c r="E646" s="209">
        <v>56</v>
      </c>
      <c r="F646" s="297">
        <v>56.73</v>
      </c>
      <c r="G646" s="297">
        <f t="shared" si="38"/>
        <v>3176.88</v>
      </c>
    </row>
    <row r="647" spans="1:7">
      <c r="A647" s="50"/>
      <c r="B647" s="235"/>
      <c r="C647" s="274" t="s">
        <v>1558</v>
      </c>
      <c r="D647" s="26" t="s">
        <v>185</v>
      </c>
      <c r="E647" s="303">
        <v>32</v>
      </c>
      <c r="F647" s="297">
        <v>56.73</v>
      </c>
      <c r="G647" s="297">
        <f t="shared" si="38"/>
        <v>1815.36</v>
      </c>
    </row>
    <row r="648" spans="1:7" ht="12.75" customHeight="1">
      <c r="A648" s="51"/>
      <c r="B648" s="235" t="s">
        <v>1597</v>
      </c>
      <c r="C648" s="274" t="s">
        <v>1598</v>
      </c>
      <c r="D648" s="26" t="s">
        <v>185</v>
      </c>
      <c r="E648" s="303">
        <v>840</v>
      </c>
      <c r="F648" s="209">
        <v>158.15</v>
      </c>
      <c r="G648" s="297">
        <f t="shared" si="38"/>
        <v>132846</v>
      </c>
    </row>
    <row r="649" spans="1:7" ht="12.75" customHeight="1">
      <c r="A649" s="1"/>
      <c r="B649" s="235" t="s">
        <v>991</v>
      </c>
      <c r="C649" s="258" t="s">
        <v>1560</v>
      </c>
      <c r="D649" s="28" t="s">
        <v>185</v>
      </c>
      <c r="E649" s="312">
        <v>3015</v>
      </c>
      <c r="F649" s="173">
        <v>7.82</v>
      </c>
      <c r="G649" s="310">
        <f t="shared" si="38"/>
        <v>23577.3</v>
      </c>
    </row>
    <row r="650" spans="1:7">
      <c r="A650" s="1"/>
      <c r="B650" s="235" t="s">
        <v>1605</v>
      </c>
      <c r="C650" s="258" t="s">
        <v>1014</v>
      </c>
      <c r="D650" s="28" t="s">
        <v>185</v>
      </c>
      <c r="E650" s="312">
        <v>73</v>
      </c>
      <c r="F650" s="173">
        <v>18</v>
      </c>
      <c r="G650" s="310">
        <f t="shared" si="38"/>
        <v>1314</v>
      </c>
    </row>
    <row r="651" spans="1:7">
      <c r="A651" s="1"/>
      <c r="B651" s="239" t="s">
        <v>1605</v>
      </c>
      <c r="C651" s="264" t="s">
        <v>1015</v>
      </c>
      <c r="D651" s="230" t="s">
        <v>185</v>
      </c>
      <c r="E651" s="313">
        <v>27</v>
      </c>
      <c r="F651" s="232">
        <v>38.700000000000003</v>
      </c>
      <c r="G651" s="314">
        <f t="shared" si="38"/>
        <v>1044.9000000000001</v>
      </c>
    </row>
    <row r="652" spans="1:7">
      <c r="A652" s="1"/>
      <c r="B652" s="235" t="s">
        <v>239</v>
      </c>
      <c r="C652" s="258" t="s">
        <v>1016</v>
      </c>
      <c r="D652" s="28" t="s">
        <v>185</v>
      </c>
      <c r="E652" s="312">
        <v>46</v>
      </c>
      <c r="F652" s="173">
        <v>125</v>
      </c>
      <c r="G652" s="310">
        <f t="shared" si="38"/>
        <v>5750</v>
      </c>
    </row>
    <row r="653" spans="1:7">
      <c r="A653" s="1"/>
      <c r="B653" s="235" t="s">
        <v>239</v>
      </c>
      <c r="C653" s="258" t="s">
        <v>1017</v>
      </c>
      <c r="D653" s="28" t="s">
        <v>185</v>
      </c>
      <c r="E653" s="312">
        <v>24</v>
      </c>
      <c r="F653" s="173">
        <v>80</v>
      </c>
      <c r="G653" s="310">
        <f t="shared" si="38"/>
        <v>1920</v>
      </c>
    </row>
    <row r="654" spans="1:7">
      <c r="A654" s="1"/>
      <c r="B654" s="235" t="s">
        <v>239</v>
      </c>
      <c r="C654" s="258" t="s">
        <v>1018</v>
      </c>
      <c r="D654" s="28" t="s">
        <v>185</v>
      </c>
      <c r="E654" s="209">
        <v>55</v>
      </c>
      <c r="F654" s="173">
        <v>25</v>
      </c>
      <c r="G654" s="310">
        <f>TRUNC(E654*F654,2)</f>
        <v>1375</v>
      </c>
    </row>
    <row r="655" spans="1:7">
      <c r="A655" s="1"/>
      <c r="B655" s="235" t="s">
        <v>239</v>
      </c>
      <c r="C655" s="258" t="s">
        <v>1561</v>
      </c>
      <c r="D655" s="27" t="s">
        <v>185</v>
      </c>
      <c r="E655" s="173">
        <v>2000</v>
      </c>
      <c r="F655" s="173">
        <v>18</v>
      </c>
      <c r="G655" s="297">
        <f t="shared" si="38"/>
        <v>36000</v>
      </c>
    </row>
    <row r="656" spans="1:7">
      <c r="A656" s="1"/>
      <c r="B656" s="239" t="s">
        <v>1605</v>
      </c>
      <c r="C656" s="264" t="s">
        <v>329</v>
      </c>
      <c r="D656" s="231" t="s">
        <v>194</v>
      </c>
      <c r="E656" s="232">
        <v>9</v>
      </c>
      <c r="F656" s="232">
        <v>38.700000000000003</v>
      </c>
      <c r="G656" s="302">
        <f>TRUNC(E656*F656,2)</f>
        <v>348.3</v>
      </c>
    </row>
    <row r="657" spans="1:7">
      <c r="A657" s="1"/>
      <c r="B657" s="239" t="s">
        <v>1605</v>
      </c>
      <c r="C657" s="264" t="s">
        <v>331</v>
      </c>
      <c r="D657" s="231" t="s">
        <v>194</v>
      </c>
      <c r="E657" s="232">
        <v>35</v>
      </c>
      <c r="F657" s="232">
        <v>38.700000000000003</v>
      </c>
      <c r="G657" s="302">
        <f>TRUNC(E657*F657,2)</f>
        <v>1354.5</v>
      </c>
    </row>
    <row r="658" spans="1:7">
      <c r="A658" s="1"/>
      <c r="B658" s="240" t="s">
        <v>239</v>
      </c>
      <c r="C658" s="258" t="s">
        <v>1373</v>
      </c>
      <c r="D658" s="27" t="s">
        <v>194</v>
      </c>
      <c r="E658" s="173">
        <v>30</v>
      </c>
      <c r="F658" s="173">
        <v>15</v>
      </c>
      <c r="G658" s="310">
        <f>TRUNC(E658*F658,2)</f>
        <v>450</v>
      </c>
    </row>
    <row r="659" spans="1:7">
      <c r="A659" s="1"/>
      <c r="B659" s="240">
        <v>3102</v>
      </c>
      <c r="C659" s="258" t="s">
        <v>174</v>
      </c>
      <c r="D659" s="27" t="s">
        <v>185</v>
      </c>
      <c r="E659" s="173">
        <v>110</v>
      </c>
      <c r="F659" s="49">
        <f>TRUNC(87.62*(456.49/400.353),2)</f>
        <v>99.9</v>
      </c>
      <c r="G659" s="297">
        <f>TRUNC(E659*F659,2)</f>
        <v>10989</v>
      </c>
    </row>
    <row r="660" spans="1:7">
      <c r="A660" s="1"/>
      <c r="B660" s="235"/>
      <c r="C660" s="292" t="s">
        <v>886</v>
      </c>
      <c r="D660" s="206"/>
      <c r="E660" s="173"/>
      <c r="F660" s="173"/>
      <c r="G660" s="315">
        <f>SUM(G632:G659)</f>
        <v>492951.14</v>
      </c>
    </row>
    <row r="661" spans="1:7">
      <c r="A661" s="1"/>
      <c r="B661" s="234"/>
      <c r="C661" s="260" t="s">
        <v>1039</v>
      </c>
      <c r="D661" s="206"/>
      <c r="E661" s="173"/>
      <c r="F661" s="173"/>
      <c r="G661" s="297"/>
    </row>
    <row r="662" spans="1:7">
      <c r="A662" s="1"/>
      <c r="B662" s="235" t="s">
        <v>769</v>
      </c>
      <c r="C662" s="258" t="s">
        <v>1547</v>
      </c>
      <c r="D662" s="27" t="s">
        <v>185</v>
      </c>
      <c r="E662" s="173">
        <v>1425</v>
      </c>
      <c r="F662" s="173">
        <v>3.42</v>
      </c>
      <c r="G662" s="297">
        <f t="shared" ref="G662:G701" si="39">TRUNC(E662*F662,2)</f>
        <v>4873.5</v>
      </c>
    </row>
    <row r="663" spans="1:7" ht="22.5">
      <c r="A663" s="1"/>
      <c r="B663" s="235" t="s">
        <v>768</v>
      </c>
      <c r="C663" s="258" t="s">
        <v>336</v>
      </c>
      <c r="D663" s="27" t="s">
        <v>185</v>
      </c>
      <c r="E663" s="173">
        <v>1350</v>
      </c>
      <c r="F663" s="173">
        <v>55.1</v>
      </c>
      <c r="G663" s="297">
        <f t="shared" si="39"/>
        <v>74385</v>
      </c>
    </row>
    <row r="664" spans="1:7" ht="22.5">
      <c r="A664" s="1"/>
      <c r="B664" s="235" t="s">
        <v>1548</v>
      </c>
      <c r="C664" s="258" t="s">
        <v>1549</v>
      </c>
      <c r="D664" s="27" t="s">
        <v>185</v>
      </c>
      <c r="E664" s="173">
        <v>75</v>
      </c>
      <c r="F664" s="209">
        <v>62.44</v>
      </c>
      <c r="G664" s="297">
        <f t="shared" si="39"/>
        <v>4683</v>
      </c>
    </row>
    <row r="665" spans="1:7">
      <c r="A665" s="1"/>
      <c r="B665" s="235" t="s">
        <v>990</v>
      </c>
      <c r="C665" s="258" t="s">
        <v>1551</v>
      </c>
      <c r="D665" s="27" t="s">
        <v>189</v>
      </c>
      <c r="E665" s="173">
        <v>65</v>
      </c>
      <c r="F665" s="173">
        <v>23.21</v>
      </c>
      <c r="G665" s="297">
        <f t="shared" si="39"/>
        <v>1508.65</v>
      </c>
    </row>
    <row r="666" spans="1:7" ht="33.75">
      <c r="A666" s="1"/>
      <c r="B666" s="239" t="s">
        <v>1599</v>
      </c>
      <c r="C666" s="264" t="s">
        <v>1555</v>
      </c>
      <c r="D666" s="231" t="s">
        <v>194</v>
      </c>
      <c r="E666" s="232">
        <v>2</v>
      </c>
      <c r="F666" s="306">
        <v>231.72</v>
      </c>
      <c r="G666" s="302">
        <f t="shared" si="39"/>
        <v>463.44</v>
      </c>
    </row>
    <row r="667" spans="1:7">
      <c r="A667" s="1"/>
      <c r="B667" s="235"/>
      <c r="C667" s="258" t="s">
        <v>1559</v>
      </c>
      <c r="D667" s="27" t="s">
        <v>189</v>
      </c>
      <c r="E667" s="173">
        <v>370</v>
      </c>
      <c r="F667" s="173"/>
      <c r="G667" s="297">
        <f t="shared" si="39"/>
        <v>0</v>
      </c>
    </row>
    <row r="668" spans="1:7">
      <c r="A668" s="1"/>
      <c r="B668" s="235" t="s">
        <v>239</v>
      </c>
      <c r="C668" s="258" t="s">
        <v>1014</v>
      </c>
      <c r="D668" s="27" t="s">
        <v>185</v>
      </c>
      <c r="E668" s="173">
        <v>29</v>
      </c>
      <c r="F668" s="173">
        <v>18</v>
      </c>
      <c r="G668" s="297">
        <f t="shared" si="39"/>
        <v>522</v>
      </c>
    </row>
    <row r="669" spans="1:7">
      <c r="A669" s="1"/>
      <c r="B669" s="239" t="s">
        <v>1605</v>
      </c>
      <c r="C669" s="264" t="s">
        <v>1015</v>
      </c>
      <c r="D669" s="231" t="s">
        <v>185</v>
      </c>
      <c r="E669" s="232">
        <v>11</v>
      </c>
      <c r="F669" s="232">
        <v>38.700000000000003</v>
      </c>
      <c r="G669" s="302">
        <f t="shared" si="39"/>
        <v>425.7</v>
      </c>
    </row>
    <row r="670" spans="1:7">
      <c r="A670" s="1"/>
      <c r="B670" s="235" t="s">
        <v>239</v>
      </c>
      <c r="C670" s="258" t="s">
        <v>1016</v>
      </c>
      <c r="D670" s="27" t="s">
        <v>185</v>
      </c>
      <c r="E670" s="173">
        <v>18</v>
      </c>
      <c r="F670" s="173">
        <v>125</v>
      </c>
      <c r="G670" s="297">
        <f t="shared" si="39"/>
        <v>2250</v>
      </c>
    </row>
    <row r="671" spans="1:7">
      <c r="A671" s="1"/>
      <c r="B671" s="235" t="s">
        <v>239</v>
      </c>
      <c r="C671" s="258" t="s">
        <v>1017</v>
      </c>
      <c r="D671" s="27" t="s">
        <v>185</v>
      </c>
      <c r="E671" s="173">
        <v>10</v>
      </c>
      <c r="F671" s="173">
        <v>80</v>
      </c>
      <c r="G671" s="297">
        <f t="shared" si="39"/>
        <v>800</v>
      </c>
    </row>
    <row r="672" spans="1:7">
      <c r="A672" s="1"/>
      <c r="B672" s="235" t="s">
        <v>239</v>
      </c>
      <c r="C672" s="258" t="s">
        <v>1018</v>
      </c>
      <c r="D672" s="27" t="s">
        <v>185</v>
      </c>
      <c r="E672" s="173">
        <v>22</v>
      </c>
      <c r="F672" s="173">
        <v>25</v>
      </c>
      <c r="G672" s="297">
        <f t="shared" si="39"/>
        <v>550</v>
      </c>
    </row>
    <row r="673" spans="1:7">
      <c r="A673" s="1"/>
      <c r="B673" s="235" t="s">
        <v>239</v>
      </c>
      <c r="C673" s="258" t="s">
        <v>1561</v>
      </c>
      <c r="D673" s="27" t="s">
        <v>185</v>
      </c>
      <c r="E673" s="173">
        <v>1250</v>
      </c>
      <c r="F673" s="173">
        <v>18</v>
      </c>
      <c r="G673" s="297">
        <f t="shared" si="39"/>
        <v>22500</v>
      </c>
    </row>
    <row r="674" spans="1:7">
      <c r="A674" s="1"/>
      <c r="B674" s="239" t="s">
        <v>1605</v>
      </c>
      <c r="C674" s="264" t="s">
        <v>331</v>
      </c>
      <c r="D674" s="231" t="s">
        <v>194</v>
      </c>
      <c r="E674" s="232">
        <v>30</v>
      </c>
      <c r="F674" s="232">
        <v>38.700000000000003</v>
      </c>
      <c r="G674" s="302">
        <f t="shared" si="39"/>
        <v>1161</v>
      </c>
    </row>
    <row r="675" spans="1:7">
      <c r="A675" s="1"/>
      <c r="B675" s="235" t="s">
        <v>239</v>
      </c>
      <c r="C675" s="258" t="s">
        <v>1373</v>
      </c>
      <c r="D675" s="27" t="s">
        <v>194</v>
      </c>
      <c r="E675" s="173">
        <v>16</v>
      </c>
      <c r="F675" s="173">
        <v>15</v>
      </c>
      <c r="G675" s="297">
        <f t="shared" si="39"/>
        <v>240</v>
      </c>
    </row>
    <row r="676" spans="1:7">
      <c r="A676" s="1"/>
      <c r="B676" s="235">
        <v>3102</v>
      </c>
      <c r="C676" s="258" t="s">
        <v>174</v>
      </c>
      <c r="D676" s="27" t="s">
        <v>185</v>
      </c>
      <c r="E676" s="173">
        <v>25</v>
      </c>
      <c r="F676" s="49">
        <f>TRUNC(87.62*(456.49/400.353),2)</f>
        <v>99.9</v>
      </c>
      <c r="G676" s="297">
        <f t="shared" si="39"/>
        <v>2497.5</v>
      </c>
    </row>
    <row r="677" spans="1:7">
      <c r="A677" s="1"/>
      <c r="B677" s="235"/>
      <c r="C677" s="292" t="s">
        <v>886</v>
      </c>
      <c r="D677" s="27"/>
      <c r="E677" s="173"/>
      <c r="F677" s="173"/>
      <c r="G677" s="315">
        <f>SUM(G662:G676)</f>
        <v>116859.79</v>
      </c>
    </row>
    <row r="678" spans="1:7">
      <c r="A678" s="1"/>
      <c r="B678" s="234"/>
      <c r="C678" s="260" t="s">
        <v>1562</v>
      </c>
      <c r="D678" s="27"/>
      <c r="E678" s="173"/>
      <c r="F678" s="173"/>
      <c r="G678" s="297"/>
    </row>
    <row r="679" spans="1:7">
      <c r="A679" s="1"/>
      <c r="B679" s="235" t="s">
        <v>769</v>
      </c>
      <c r="C679" s="258" t="s">
        <v>1547</v>
      </c>
      <c r="D679" s="27" t="s">
        <v>185</v>
      </c>
      <c r="E679" s="173">
        <v>13050</v>
      </c>
      <c r="F679" s="173">
        <v>3.42</v>
      </c>
      <c r="G679" s="297">
        <f t="shared" si="39"/>
        <v>44631</v>
      </c>
    </row>
    <row r="680" spans="1:7">
      <c r="A680" s="1"/>
      <c r="B680" s="235" t="s">
        <v>767</v>
      </c>
      <c r="C680" s="258" t="s">
        <v>1552</v>
      </c>
      <c r="D680" s="27" t="s">
        <v>186</v>
      </c>
      <c r="E680" s="173">
        <v>275</v>
      </c>
      <c r="F680" s="173">
        <v>424.39</v>
      </c>
      <c r="G680" s="297">
        <f t="shared" si="39"/>
        <v>116707.25</v>
      </c>
    </row>
    <row r="681" spans="1:7">
      <c r="A681" s="1"/>
      <c r="B681" s="235" t="s">
        <v>729</v>
      </c>
      <c r="C681" s="258" t="s">
        <v>1369</v>
      </c>
      <c r="D681" s="27" t="s">
        <v>185</v>
      </c>
      <c r="E681" s="173">
        <v>5500</v>
      </c>
      <c r="F681" s="173">
        <v>3.08</v>
      </c>
      <c r="G681" s="297">
        <f t="shared" si="39"/>
        <v>16940</v>
      </c>
    </row>
    <row r="682" spans="1:7">
      <c r="A682" s="1"/>
      <c r="B682" s="235" t="s">
        <v>1370</v>
      </c>
      <c r="C682" s="258" t="s">
        <v>1553</v>
      </c>
      <c r="D682" s="27" t="s">
        <v>186</v>
      </c>
      <c r="E682" s="173">
        <v>825</v>
      </c>
      <c r="F682" s="173">
        <v>94.06</v>
      </c>
      <c r="G682" s="297">
        <f t="shared" si="39"/>
        <v>77599.5</v>
      </c>
    </row>
    <row r="683" spans="1:7" ht="22.5">
      <c r="A683" s="1"/>
      <c r="B683" s="235" t="s">
        <v>1371</v>
      </c>
      <c r="C683" s="258" t="s">
        <v>1372</v>
      </c>
      <c r="D683" s="27" t="s">
        <v>189</v>
      </c>
      <c r="E683" s="173">
        <v>4500</v>
      </c>
      <c r="F683" s="173">
        <v>30.01</v>
      </c>
      <c r="G683" s="297">
        <f t="shared" si="39"/>
        <v>135045</v>
      </c>
    </row>
    <row r="684" spans="1:7" ht="22.5">
      <c r="A684" s="1"/>
      <c r="B684" s="235" t="s">
        <v>768</v>
      </c>
      <c r="C684" s="258" t="s">
        <v>336</v>
      </c>
      <c r="D684" s="27" t="s">
        <v>185</v>
      </c>
      <c r="E684" s="173">
        <v>5200</v>
      </c>
      <c r="F684" s="173">
        <v>55.1</v>
      </c>
      <c r="G684" s="297">
        <f t="shared" si="39"/>
        <v>286520</v>
      </c>
    </row>
    <row r="685" spans="1:7" ht="22.5">
      <c r="A685" s="1"/>
      <c r="B685" s="235" t="s">
        <v>1548</v>
      </c>
      <c r="C685" s="258" t="s">
        <v>1549</v>
      </c>
      <c r="D685" s="27" t="s">
        <v>185</v>
      </c>
      <c r="E685" s="173">
        <v>1300</v>
      </c>
      <c r="F685" s="209">
        <v>62.44</v>
      </c>
      <c r="G685" s="297">
        <f t="shared" si="39"/>
        <v>81172</v>
      </c>
    </row>
    <row r="686" spans="1:7" ht="22.5">
      <c r="A686" s="1"/>
      <c r="B686" s="235" t="s">
        <v>988</v>
      </c>
      <c r="C686" s="258" t="s">
        <v>989</v>
      </c>
      <c r="D686" s="27" t="s">
        <v>185</v>
      </c>
      <c r="E686" s="173">
        <v>1050</v>
      </c>
      <c r="F686" s="173">
        <v>63.28</v>
      </c>
      <c r="G686" s="297">
        <f t="shared" si="39"/>
        <v>66444</v>
      </c>
    </row>
    <row r="687" spans="1:7">
      <c r="A687" s="1"/>
      <c r="B687" s="235" t="s">
        <v>1370</v>
      </c>
      <c r="C687" s="258" t="s">
        <v>1563</v>
      </c>
      <c r="D687" s="27" t="s">
        <v>186</v>
      </c>
      <c r="E687" s="173">
        <v>157.5</v>
      </c>
      <c r="F687" s="173">
        <v>94.06</v>
      </c>
      <c r="G687" s="297">
        <f t="shared" si="39"/>
        <v>14814.45</v>
      </c>
    </row>
    <row r="688" spans="1:7">
      <c r="A688" s="1"/>
      <c r="B688" s="235" t="s">
        <v>990</v>
      </c>
      <c r="C688" s="258" t="s">
        <v>1551</v>
      </c>
      <c r="D688" s="27" t="s">
        <v>189</v>
      </c>
      <c r="E688" s="173">
        <v>10367</v>
      </c>
      <c r="F688" s="173">
        <v>23.21</v>
      </c>
      <c r="G688" s="297">
        <f t="shared" si="39"/>
        <v>240618.07</v>
      </c>
    </row>
    <row r="689" spans="1:7" ht="33.75">
      <c r="A689" s="1"/>
      <c r="B689" s="239" t="s">
        <v>1599</v>
      </c>
      <c r="C689" s="264" t="s">
        <v>1555</v>
      </c>
      <c r="D689" s="231" t="s">
        <v>194</v>
      </c>
      <c r="E689" s="232">
        <v>50</v>
      </c>
      <c r="F689" s="306">
        <v>231.72</v>
      </c>
      <c r="G689" s="302">
        <f t="shared" si="39"/>
        <v>11586</v>
      </c>
    </row>
    <row r="690" spans="1:7" ht="22.5">
      <c r="A690" s="1"/>
      <c r="B690" s="235">
        <v>4063</v>
      </c>
      <c r="C690" s="258" t="s">
        <v>1564</v>
      </c>
      <c r="D690" s="27" t="s">
        <v>194</v>
      </c>
      <c r="E690" s="173">
        <v>5</v>
      </c>
      <c r="F690" s="173">
        <f>TRUNC(440.41*(456.49/400.353),2)</f>
        <v>502.16</v>
      </c>
      <c r="G690" s="297">
        <f t="shared" si="39"/>
        <v>2510.8000000000002</v>
      </c>
    </row>
    <row r="691" spans="1:7" ht="22.5">
      <c r="A691" s="1"/>
      <c r="B691" s="235">
        <v>4064</v>
      </c>
      <c r="C691" s="258" t="s">
        <v>476</v>
      </c>
      <c r="D691" s="27" t="s">
        <v>194</v>
      </c>
      <c r="E691" s="173">
        <v>21</v>
      </c>
      <c r="F691" s="173">
        <v>85.48</v>
      </c>
      <c r="G691" s="297">
        <f t="shared" si="39"/>
        <v>1795.08</v>
      </c>
    </row>
    <row r="692" spans="1:7">
      <c r="A692" s="1"/>
      <c r="B692" s="235">
        <v>4070</v>
      </c>
      <c r="C692" s="258" t="s">
        <v>1565</v>
      </c>
      <c r="D692" s="27" t="s">
        <v>185</v>
      </c>
      <c r="E692" s="173">
        <v>180</v>
      </c>
      <c r="F692" s="173">
        <v>56.73</v>
      </c>
      <c r="G692" s="297">
        <f t="shared" si="39"/>
        <v>10211.4</v>
      </c>
    </row>
    <row r="693" spans="1:7">
      <c r="A693" s="1"/>
      <c r="B693" s="235" t="s">
        <v>991</v>
      </c>
      <c r="C693" s="258" t="s">
        <v>1560</v>
      </c>
      <c r="D693" s="27" t="s">
        <v>185</v>
      </c>
      <c r="E693" s="173">
        <v>34000</v>
      </c>
      <c r="F693" s="173">
        <v>7.82</v>
      </c>
      <c r="G693" s="297">
        <f t="shared" si="39"/>
        <v>265880</v>
      </c>
    </row>
    <row r="694" spans="1:7">
      <c r="A694" s="1"/>
      <c r="B694" s="235" t="s">
        <v>992</v>
      </c>
      <c r="C694" s="258" t="s">
        <v>1566</v>
      </c>
      <c r="D694" s="27" t="s">
        <v>194</v>
      </c>
      <c r="E694" s="173">
        <v>32</v>
      </c>
      <c r="F694" s="173">
        <v>74.81</v>
      </c>
      <c r="G694" s="297">
        <f t="shared" si="39"/>
        <v>2393.92</v>
      </c>
    </row>
    <row r="695" spans="1:7">
      <c r="A695" s="1"/>
      <c r="B695" s="235" t="s">
        <v>993</v>
      </c>
      <c r="C695" s="258" t="s">
        <v>1567</v>
      </c>
      <c r="D695" s="27" t="s">
        <v>194</v>
      </c>
      <c r="E695" s="173">
        <v>46</v>
      </c>
      <c r="F695" s="173">
        <v>99.75</v>
      </c>
      <c r="G695" s="297">
        <f t="shared" si="39"/>
        <v>4588.5</v>
      </c>
    </row>
    <row r="696" spans="1:7">
      <c r="A696" s="1"/>
      <c r="B696" s="235" t="s">
        <v>765</v>
      </c>
      <c r="C696" s="258" t="s">
        <v>327</v>
      </c>
      <c r="D696" s="27" t="s">
        <v>194</v>
      </c>
      <c r="E696" s="173">
        <v>32</v>
      </c>
      <c r="F696" s="173">
        <v>62.06</v>
      </c>
      <c r="G696" s="297">
        <f t="shared" si="39"/>
        <v>1985.92</v>
      </c>
    </row>
    <row r="697" spans="1:7">
      <c r="A697" s="1"/>
      <c r="B697" s="235" t="s">
        <v>766</v>
      </c>
      <c r="C697" s="258" t="s">
        <v>328</v>
      </c>
      <c r="D697" s="27" t="s">
        <v>194</v>
      </c>
      <c r="E697" s="173">
        <v>46</v>
      </c>
      <c r="F697" s="173">
        <v>105.66</v>
      </c>
      <c r="G697" s="297">
        <f t="shared" si="39"/>
        <v>4860.3599999999997</v>
      </c>
    </row>
    <row r="698" spans="1:7">
      <c r="A698" s="1"/>
      <c r="B698" s="239" t="s">
        <v>1605</v>
      </c>
      <c r="C698" s="264" t="s">
        <v>329</v>
      </c>
      <c r="D698" s="231" t="s">
        <v>194</v>
      </c>
      <c r="E698" s="232">
        <v>85</v>
      </c>
      <c r="F698" s="232">
        <v>38.700000000000003</v>
      </c>
      <c r="G698" s="302">
        <f t="shared" si="39"/>
        <v>3289.5</v>
      </c>
    </row>
    <row r="699" spans="1:7">
      <c r="A699" s="1"/>
      <c r="B699" s="239" t="s">
        <v>1605</v>
      </c>
      <c r="C699" s="264" t="s">
        <v>330</v>
      </c>
      <c r="D699" s="231" t="s">
        <v>194</v>
      </c>
      <c r="E699" s="232">
        <v>95</v>
      </c>
      <c r="F699" s="232">
        <v>38.700000000000003</v>
      </c>
      <c r="G699" s="302">
        <f t="shared" si="39"/>
        <v>3676.5</v>
      </c>
    </row>
    <row r="700" spans="1:7">
      <c r="A700" s="1"/>
      <c r="B700" s="239" t="s">
        <v>1605</v>
      </c>
      <c r="C700" s="264" t="s">
        <v>331</v>
      </c>
      <c r="D700" s="231" t="s">
        <v>194</v>
      </c>
      <c r="E700" s="232">
        <v>70</v>
      </c>
      <c r="F700" s="232">
        <v>38.700000000000003</v>
      </c>
      <c r="G700" s="302">
        <f t="shared" si="39"/>
        <v>2709</v>
      </c>
    </row>
    <row r="701" spans="1:7">
      <c r="A701" s="1"/>
      <c r="B701" s="239" t="s">
        <v>1605</v>
      </c>
      <c r="C701" s="264" t="s">
        <v>445</v>
      </c>
      <c r="D701" s="231" t="s">
        <v>194</v>
      </c>
      <c r="E701" s="232">
        <v>357</v>
      </c>
      <c r="F701" s="232">
        <v>21.66</v>
      </c>
      <c r="G701" s="302">
        <f t="shared" si="39"/>
        <v>7732.62</v>
      </c>
    </row>
    <row r="702" spans="1:7">
      <c r="A702" s="1"/>
      <c r="B702" s="235"/>
      <c r="C702" s="292" t="s">
        <v>886</v>
      </c>
      <c r="D702" s="28"/>
      <c r="E702" s="173"/>
      <c r="F702" s="173"/>
      <c r="G702" s="315">
        <f>SUM(G679:G701)</f>
        <v>1403710.87</v>
      </c>
    </row>
    <row r="703" spans="1:7" ht="12.75" customHeight="1">
      <c r="A703" s="53" t="s">
        <v>158</v>
      </c>
      <c r="B703" s="235"/>
      <c r="C703" s="292" t="s">
        <v>145</v>
      </c>
      <c r="D703" s="1"/>
      <c r="E703" s="208"/>
      <c r="F703" s="296"/>
      <c r="G703" s="296">
        <f>SUM(G702,G677,G660)</f>
        <v>2013521.8000000003</v>
      </c>
    </row>
    <row r="704" spans="1:7">
      <c r="A704" s="1"/>
      <c r="B704" s="235"/>
      <c r="C704" s="256"/>
      <c r="D704" s="1"/>
      <c r="E704" s="208"/>
      <c r="F704" s="296"/>
      <c r="G704" s="296"/>
    </row>
    <row r="705" spans="1:7">
      <c r="A705" s="1">
        <v>6</v>
      </c>
      <c r="B705" s="233">
        <v>6</v>
      </c>
      <c r="C705" s="254" t="s">
        <v>1339</v>
      </c>
      <c r="D705" s="170"/>
      <c r="E705" s="178" t="s">
        <v>122</v>
      </c>
      <c r="F705" s="178"/>
      <c r="G705" s="178"/>
    </row>
    <row r="706" spans="1:7">
      <c r="A706" s="1"/>
      <c r="B706" s="242">
        <v>4065</v>
      </c>
      <c r="C706" s="271" t="s">
        <v>242</v>
      </c>
      <c r="D706" s="9" t="s">
        <v>189</v>
      </c>
      <c r="E706" s="173">
        <v>380</v>
      </c>
      <c r="F706" s="310">
        <f>TRUNC(151.36*(456.49/400.353),2)</f>
        <v>172.58</v>
      </c>
      <c r="G706" s="297">
        <f t="shared" ref="G706:G717" si="40">TRUNC(E706*F706,2)</f>
        <v>65580.399999999994</v>
      </c>
    </row>
    <row r="707" spans="1:7">
      <c r="A707" s="1"/>
      <c r="B707" s="242" t="s">
        <v>864</v>
      </c>
      <c r="C707" s="271" t="s">
        <v>337</v>
      </c>
      <c r="D707" s="9" t="s">
        <v>185</v>
      </c>
      <c r="E707" s="173">
        <v>5</v>
      </c>
      <c r="F707" s="297">
        <f>VLOOKUP(B707,[1]Plan1!A$1:D$65536,4,FALSE)</f>
        <v>26.44</v>
      </c>
      <c r="G707" s="297">
        <f t="shared" si="40"/>
        <v>132.19999999999999</v>
      </c>
    </row>
    <row r="708" spans="1:7" ht="12.75" customHeight="1">
      <c r="A708" s="1"/>
      <c r="B708" s="235" t="s">
        <v>863</v>
      </c>
      <c r="C708" s="252" t="s">
        <v>276</v>
      </c>
      <c r="D708" s="9" t="s">
        <v>189</v>
      </c>
      <c r="E708" s="49">
        <v>170</v>
      </c>
      <c r="F708" s="297">
        <f>VLOOKUP(B708,[1]Plan1!A$1:D$65536,4,FALSE)</f>
        <v>317.25</v>
      </c>
      <c r="G708" s="297">
        <f t="shared" si="40"/>
        <v>53932.5</v>
      </c>
    </row>
    <row r="709" spans="1:7">
      <c r="A709" s="1"/>
      <c r="B709" s="235" t="s">
        <v>463</v>
      </c>
      <c r="C709" s="252" t="s">
        <v>277</v>
      </c>
      <c r="D709" s="9" t="s">
        <v>189</v>
      </c>
      <c r="E709" s="49">
        <v>95</v>
      </c>
      <c r="F709" s="310">
        <v>9.41</v>
      </c>
      <c r="G709" s="297">
        <f t="shared" si="40"/>
        <v>893.95</v>
      </c>
    </row>
    <row r="710" spans="1:7">
      <c r="A710" s="1"/>
      <c r="B710" s="235" t="s">
        <v>862</v>
      </c>
      <c r="C710" s="252" t="s">
        <v>278</v>
      </c>
      <c r="D710" s="9" t="s">
        <v>189</v>
      </c>
      <c r="E710" s="49">
        <v>150</v>
      </c>
      <c r="F710" s="297">
        <f>VLOOKUP(B710,[1]Plan1!A$1:D$65536,4,FALSE)</f>
        <v>93.32</v>
      </c>
      <c r="G710" s="297">
        <f t="shared" si="40"/>
        <v>13998</v>
      </c>
    </row>
    <row r="711" spans="1:7">
      <c r="A711" s="1"/>
      <c r="B711" s="235" t="s">
        <v>566</v>
      </c>
      <c r="C711" s="253" t="s">
        <v>279</v>
      </c>
      <c r="D711" s="1" t="s">
        <v>186</v>
      </c>
      <c r="E711" s="49">
        <v>41</v>
      </c>
      <c r="F711" s="297">
        <f>VLOOKUP(B711,[1]Plan1!A$1:D$65536,4,FALSE)</f>
        <v>46.72</v>
      </c>
      <c r="G711" s="297">
        <f t="shared" si="40"/>
        <v>1915.52</v>
      </c>
    </row>
    <row r="712" spans="1:7" ht="12.75" customHeight="1">
      <c r="A712" s="1"/>
      <c r="B712" s="235" t="s">
        <v>861</v>
      </c>
      <c r="C712" s="253" t="s">
        <v>280</v>
      </c>
      <c r="D712" s="1" t="s">
        <v>189</v>
      </c>
      <c r="E712" s="49">
        <v>120</v>
      </c>
      <c r="F712" s="297">
        <f>VLOOKUP(B712,[1]Plan1!A$1:D$65536,4,FALSE)</f>
        <v>15.39</v>
      </c>
      <c r="G712" s="297">
        <f t="shared" si="40"/>
        <v>1846.8</v>
      </c>
    </row>
    <row r="713" spans="1:7">
      <c r="A713" s="1"/>
      <c r="B713" s="235" t="s">
        <v>459</v>
      </c>
      <c r="C713" s="253" t="s">
        <v>460</v>
      </c>
      <c r="D713" s="1" t="s">
        <v>185</v>
      </c>
      <c r="E713" s="49">
        <v>40</v>
      </c>
      <c r="F713" s="297">
        <f>VLOOKUP(B713,[1]Plan1!A$1:D$65536,4,FALSE)</f>
        <v>20.260000000000002</v>
      </c>
      <c r="G713" s="297">
        <f t="shared" si="40"/>
        <v>810.4</v>
      </c>
    </row>
    <row r="714" spans="1:7" ht="11.25" customHeight="1">
      <c r="A714" s="1"/>
      <c r="B714" s="235" t="s">
        <v>771</v>
      </c>
      <c r="C714" s="253" t="s">
        <v>456</v>
      </c>
      <c r="D714" s="1" t="s">
        <v>185</v>
      </c>
      <c r="E714" s="49">
        <v>120</v>
      </c>
      <c r="F714" s="297">
        <f>VLOOKUP(B714,[2]Plan1!A$1:D$65536,4,FALSE)</f>
        <v>2.69</v>
      </c>
      <c r="G714" s="297">
        <f t="shared" si="40"/>
        <v>322.8</v>
      </c>
    </row>
    <row r="715" spans="1:7" ht="11.25" customHeight="1">
      <c r="A715" s="1"/>
      <c r="B715" s="235" t="s">
        <v>772</v>
      </c>
      <c r="C715" s="253" t="s">
        <v>457</v>
      </c>
      <c r="D715" s="1" t="s">
        <v>185</v>
      </c>
      <c r="E715" s="49">
        <v>80</v>
      </c>
      <c r="F715" s="297">
        <f>VLOOKUP(B715,[2]Plan1!A$1:D$65536,4,FALSE)</f>
        <v>5.38</v>
      </c>
      <c r="G715" s="297">
        <f t="shared" si="40"/>
        <v>430.4</v>
      </c>
    </row>
    <row r="716" spans="1:7" ht="12.75" customHeight="1">
      <c r="A716" s="1"/>
      <c r="B716" s="235" t="s">
        <v>773</v>
      </c>
      <c r="C716" s="253" t="s">
        <v>461</v>
      </c>
      <c r="D716" s="1" t="s">
        <v>185</v>
      </c>
      <c r="E716" s="49">
        <v>200</v>
      </c>
      <c r="F716" s="297">
        <f>VLOOKUP(B716,[2]Plan1!A$1:D$65536,4,FALSE)</f>
        <v>9.1300000000000008</v>
      </c>
      <c r="G716" s="297">
        <f t="shared" si="40"/>
        <v>1826</v>
      </c>
    </row>
    <row r="717" spans="1:7" ht="12.75" customHeight="1">
      <c r="A717" s="1"/>
      <c r="B717" s="235" t="s">
        <v>774</v>
      </c>
      <c r="C717" s="253" t="s">
        <v>458</v>
      </c>
      <c r="D717" s="1" t="s">
        <v>185</v>
      </c>
      <c r="E717" s="49">
        <v>120</v>
      </c>
      <c r="F717" s="297">
        <f>VLOOKUP(B717,[2]Plan1!A$1:D$65536,4,FALSE)</f>
        <v>5.38</v>
      </c>
      <c r="G717" s="297">
        <f t="shared" si="40"/>
        <v>645.6</v>
      </c>
    </row>
    <row r="718" spans="1:7" ht="12.75" customHeight="1">
      <c r="A718" s="1"/>
      <c r="B718" s="235"/>
      <c r="C718" s="253"/>
      <c r="D718" s="1"/>
      <c r="E718" s="49"/>
      <c r="F718" s="297"/>
      <c r="G718" s="297"/>
    </row>
    <row r="719" spans="1:7" ht="12.75" customHeight="1">
      <c r="A719" s="1"/>
      <c r="B719" s="235"/>
      <c r="C719" s="275" t="s">
        <v>593</v>
      </c>
      <c r="D719" s="176"/>
      <c r="E719" s="316"/>
      <c r="F719" s="312"/>
      <c r="G719" s="297"/>
    </row>
    <row r="720" spans="1:7" ht="12.75" customHeight="1">
      <c r="A720" s="1"/>
      <c r="B720" s="235"/>
      <c r="C720" s="275" t="s">
        <v>501</v>
      </c>
      <c r="D720" s="176"/>
      <c r="E720" s="316"/>
      <c r="F720" s="312"/>
      <c r="G720" s="297"/>
    </row>
    <row r="721" spans="1:7">
      <c r="A721" s="1"/>
      <c r="B721" s="235" t="s">
        <v>723</v>
      </c>
      <c r="C721" s="253" t="s">
        <v>526</v>
      </c>
      <c r="D721" s="177" t="s">
        <v>186</v>
      </c>
      <c r="E721" s="49">
        <v>63</v>
      </c>
      <c r="F721" s="297">
        <f>VLOOKUP(B721,[2]Plan1!A$1:D$65536,4,FALSE)</f>
        <v>113.93</v>
      </c>
      <c r="G721" s="297">
        <f>TRUNC(E721*F721,2)</f>
        <v>7177.59</v>
      </c>
    </row>
    <row r="722" spans="1:7">
      <c r="A722" s="1"/>
      <c r="B722" s="235" t="s">
        <v>720</v>
      </c>
      <c r="C722" s="253" t="s">
        <v>473</v>
      </c>
      <c r="D722" s="177" t="s">
        <v>185</v>
      </c>
      <c r="E722" s="49">
        <v>13392</v>
      </c>
      <c r="F722" s="297">
        <f>VLOOKUP(B722,[2]Plan1!A$1:D$65536,4,FALSE)</f>
        <v>1.2</v>
      </c>
      <c r="G722" s="297">
        <f>TRUNC(E722*F722,2)</f>
        <v>16070.4</v>
      </c>
    </row>
    <row r="723" spans="1:7" ht="11.25" customHeight="1">
      <c r="A723" s="1"/>
      <c r="B723" s="235" t="s">
        <v>721</v>
      </c>
      <c r="C723" s="253" t="s">
        <v>188</v>
      </c>
      <c r="D723" s="177" t="s">
        <v>186</v>
      </c>
      <c r="E723" s="49">
        <v>578</v>
      </c>
      <c r="F723" s="297">
        <f>VLOOKUP(B723,[2]Plan1!A$1:D$65536,4,FALSE)</f>
        <v>410.08</v>
      </c>
      <c r="G723" s="297">
        <f>TRUNC(E723*F723,2)</f>
        <v>237026.24</v>
      </c>
    </row>
    <row r="724" spans="1:7" ht="11.25" customHeight="1">
      <c r="A724" s="50" t="s">
        <v>157</v>
      </c>
      <c r="B724" s="235"/>
      <c r="C724" s="256" t="s">
        <v>146</v>
      </c>
      <c r="D724" s="1"/>
      <c r="E724" s="208"/>
      <c r="F724" s="296"/>
      <c r="G724" s="296">
        <f>SUM(G706:G723)</f>
        <v>402608.79999999993</v>
      </c>
    </row>
    <row r="725" spans="1:7" ht="12.75" customHeight="1">
      <c r="A725" s="1"/>
      <c r="B725" s="235"/>
      <c r="C725" s="256"/>
      <c r="D725" s="1"/>
      <c r="E725" s="208"/>
      <c r="F725" s="296"/>
      <c r="G725" s="296"/>
    </row>
    <row r="726" spans="1:7" ht="24.95" customHeight="1">
      <c r="A726" s="1">
        <v>7</v>
      </c>
      <c r="B726" s="233">
        <v>7</v>
      </c>
      <c r="C726" s="254" t="s">
        <v>307</v>
      </c>
      <c r="D726" s="170"/>
      <c r="E726" s="178"/>
      <c r="F726" s="178"/>
      <c r="G726" s="178"/>
    </row>
    <row r="727" spans="1:7" ht="11.25" customHeight="1">
      <c r="A727" s="1"/>
      <c r="B727" s="235"/>
      <c r="C727" s="276" t="s">
        <v>308</v>
      </c>
      <c r="D727" s="1"/>
      <c r="E727" s="208"/>
      <c r="F727" s="209"/>
      <c r="G727" s="297"/>
    </row>
    <row r="728" spans="1:7" ht="11.25" customHeight="1">
      <c r="A728" s="1"/>
      <c r="B728" s="235">
        <v>260105</v>
      </c>
      <c r="C728" s="253" t="s">
        <v>268</v>
      </c>
      <c r="D728" s="1" t="s">
        <v>185</v>
      </c>
      <c r="E728" s="208">
        <v>995</v>
      </c>
      <c r="F728" s="297">
        <v>58.54</v>
      </c>
      <c r="G728" s="297">
        <f t="shared" ref="G728:G757" si="41">TRUNC(E728*F728,2)</f>
        <v>58247.3</v>
      </c>
    </row>
    <row r="729" spans="1:7" ht="22.5">
      <c r="A729" s="1"/>
      <c r="B729" s="235">
        <v>260902</v>
      </c>
      <c r="C729" s="253" t="s">
        <v>269</v>
      </c>
      <c r="D729" s="1" t="s">
        <v>185</v>
      </c>
      <c r="E729" s="208">
        <v>58</v>
      </c>
      <c r="F729" s="209">
        <v>49.07</v>
      </c>
      <c r="G729" s="297">
        <f t="shared" si="41"/>
        <v>2846.06</v>
      </c>
    </row>
    <row r="730" spans="1:7" ht="11.25" customHeight="1">
      <c r="A730" s="1"/>
      <c r="B730" s="235">
        <v>260106</v>
      </c>
      <c r="C730" s="253" t="s">
        <v>270</v>
      </c>
      <c r="D730" s="1" t="s">
        <v>185</v>
      </c>
      <c r="E730" s="208">
        <v>2089</v>
      </c>
      <c r="F730" s="209">
        <v>33.450000000000003</v>
      </c>
      <c r="G730" s="297">
        <f t="shared" si="41"/>
        <v>69877.05</v>
      </c>
    </row>
    <row r="731" spans="1:7" ht="11.25" customHeight="1">
      <c r="A731" s="1"/>
      <c r="B731" s="235">
        <v>260107</v>
      </c>
      <c r="C731" s="253" t="s">
        <v>271</v>
      </c>
      <c r="D731" s="1" t="s">
        <v>185</v>
      </c>
      <c r="E731" s="208">
        <v>916</v>
      </c>
      <c r="F731" s="209">
        <v>33.450000000000003</v>
      </c>
      <c r="G731" s="297">
        <f t="shared" si="41"/>
        <v>30640.2</v>
      </c>
    </row>
    <row r="732" spans="1:7" ht="11.25" customHeight="1">
      <c r="A732" s="1"/>
      <c r="B732" s="235">
        <v>260109</v>
      </c>
      <c r="C732" s="253" t="s">
        <v>527</v>
      </c>
      <c r="D732" s="1" t="s">
        <v>185</v>
      </c>
      <c r="E732" s="208">
        <v>376</v>
      </c>
      <c r="F732" s="209">
        <v>60</v>
      </c>
      <c r="G732" s="297">
        <f t="shared" si="41"/>
        <v>22560</v>
      </c>
    </row>
    <row r="733" spans="1:7" ht="11.25" customHeight="1">
      <c r="A733" s="1"/>
      <c r="B733" s="235">
        <v>260109</v>
      </c>
      <c r="C733" s="253" t="s">
        <v>528</v>
      </c>
      <c r="D733" s="1" t="s">
        <v>185</v>
      </c>
      <c r="E733" s="208">
        <v>225</v>
      </c>
      <c r="F733" s="209">
        <v>60</v>
      </c>
      <c r="G733" s="297">
        <f>TRUNC(E733*F733,2)</f>
        <v>13500</v>
      </c>
    </row>
    <row r="734" spans="1:7" ht="22.5">
      <c r="A734" s="1"/>
      <c r="B734" s="235">
        <v>260904</v>
      </c>
      <c r="C734" s="253" t="s">
        <v>529</v>
      </c>
      <c r="D734" s="1" t="s">
        <v>185</v>
      </c>
      <c r="E734" s="208">
        <v>601</v>
      </c>
      <c r="F734" s="209">
        <v>60</v>
      </c>
      <c r="G734" s="297">
        <f t="shared" si="41"/>
        <v>36060</v>
      </c>
    </row>
    <row r="735" spans="1:7">
      <c r="A735" s="1"/>
      <c r="B735" s="235"/>
      <c r="C735" s="253" t="s">
        <v>954</v>
      </c>
      <c r="D735" s="1" t="s">
        <v>185</v>
      </c>
      <c r="E735" s="208">
        <v>917</v>
      </c>
      <c r="F735" s="209">
        <v>45.5</v>
      </c>
      <c r="G735" s="297">
        <f>TRUNC(E735*F735,2)</f>
        <v>41723.5</v>
      </c>
    </row>
    <row r="736" spans="1:7">
      <c r="A736" s="1"/>
      <c r="B736" s="235">
        <v>260114</v>
      </c>
      <c r="C736" s="253" t="s">
        <v>272</v>
      </c>
      <c r="D736" s="1" t="s">
        <v>194</v>
      </c>
      <c r="E736" s="208">
        <v>160</v>
      </c>
      <c r="F736" s="209">
        <v>16.73</v>
      </c>
      <c r="G736" s="297">
        <f t="shared" si="41"/>
        <v>2676.8</v>
      </c>
    </row>
    <row r="737" spans="1:7" ht="12.75" customHeight="1">
      <c r="A737" s="1"/>
      <c r="B737" s="235">
        <v>260115</v>
      </c>
      <c r="C737" s="253" t="s">
        <v>273</v>
      </c>
      <c r="D737" s="1" t="s">
        <v>194</v>
      </c>
      <c r="E737" s="208">
        <v>160</v>
      </c>
      <c r="F737" s="209">
        <v>16.73</v>
      </c>
      <c r="G737" s="297">
        <f t="shared" si="41"/>
        <v>2676.8</v>
      </c>
    </row>
    <row r="738" spans="1:7" ht="12.75" customHeight="1">
      <c r="A738" s="1"/>
      <c r="B738" s="235">
        <v>260113</v>
      </c>
      <c r="C738" s="253" t="s">
        <v>530</v>
      </c>
      <c r="D738" s="1" t="s">
        <v>194</v>
      </c>
      <c r="E738" s="208">
        <v>155</v>
      </c>
      <c r="F738" s="209">
        <v>13.87</v>
      </c>
      <c r="G738" s="297">
        <f t="shared" si="41"/>
        <v>2149.85</v>
      </c>
    </row>
    <row r="739" spans="1:7">
      <c r="A739" s="1"/>
      <c r="B739" s="235"/>
      <c r="C739" s="253"/>
      <c r="D739" s="1"/>
      <c r="E739" s="208"/>
      <c r="F739" s="209"/>
      <c r="G739" s="315"/>
    </row>
    <row r="740" spans="1:7">
      <c r="A740" s="1"/>
      <c r="B740" s="235"/>
      <c r="C740" s="276" t="s">
        <v>310</v>
      </c>
      <c r="D740" s="1"/>
      <c r="E740" s="208"/>
      <c r="F740" s="209"/>
      <c r="G740" s="297"/>
    </row>
    <row r="741" spans="1:7" ht="22.5">
      <c r="A741" s="1"/>
      <c r="B741" s="235">
        <v>260225</v>
      </c>
      <c r="C741" s="253" t="s">
        <v>534</v>
      </c>
      <c r="D741" s="1" t="s">
        <v>194</v>
      </c>
      <c r="E741" s="208">
        <v>28</v>
      </c>
      <c r="F741" s="209">
        <v>311.55</v>
      </c>
      <c r="G741" s="297">
        <f t="shared" si="41"/>
        <v>8723.4</v>
      </c>
    </row>
    <row r="742" spans="1:7" ht="12.75" customHeight="1">
      <c r="A742" s="1"/>
      <c r="B742" s="235">
        <v>260229</v>
      </c>
      <c r="C742" s="253" t="s">
        <v>535</v>
      </c>
      <c r="D742" s="1" t="s">
        <v>194</v>
      </c>
      <c r="E742" s="208">
        <v>172</v>
      </c>
      <c r="F742" s="209">
        <v>263.70999999999998</v>
      </c>
      <c r="G742" s="297">
        <f t="shared" si="41"/>
        <v>45358.12</v>
      </c>
    </row>
    <row r="743" spans="1:7" ht="22.5">
      <c r="A743" s="1"/>
      <c r="B743" s="235">
        <v>260227</v>
      </c>
      <c r="C743" s="253" t="s">
        <v>536</v>
      </c>
      <c r="D743" s="1" t="s">
        <v>194</v>
      </c>
      <c r="E743" s="208">
        <v>76</v>
      </c>
      <c r="F743" s="209">
        <v>299</v>
      </c>
      <c r="G743" s="297">
        <f t="shared" si="41"/>
        <v>22724</v>
      </c>
    </row>
    <row r="744" spans="1:7" ht="22.5">
      <c r="A744" s="1"/>
      <c r="B744" s="235">
        <v>260233</v>
      </c>
      <c r="C744" s="253" t="s">
        <v>537</v>
      </c>
      <c r="D744" s="1" t="s">
        <v>194</v>
      </c>
      <c r="E744" s="208">
        <v>17</v>
      </c>
      <c r="F744" s="209">
        <v>287</v>
      </c>
      <c r="G744" s="297">
        <f t="shared" si="41"/>
        <v>4879</v>
      </c>
    </row>
    <row r="745" spans="1:7" ht="12.75" customHeight="1">
      <c r="A745" s="1"/>
      <c r="B745" s="235">
        <v>260232</v>
      </c>
      <c r="C745" s="253" t="s">
        <v>538</v>
      </c>
      <c r="D745" s="1" t="s">
        <v>194</v>
      </c>
      <c r="E745" s="208">
        <v>17</v>
      </c>
      <c r="F745" s="209">
        <v>421.79</v>
      </c>
      <c r="G745" s="297">
        <f t="shared" si="41"/>
        <v>7170.43</v>
      </c>
    </row>
    <row r="746" spans="1:7" ht="22.5">
      <c r="A746" s="1"/>
      <c r="B746" s="235">
        <v>260231</v>
      </c>
      <c r="C746" s="253" t="s">
        <v>539</v>
      </c>
      <c r="D746" s="1" t="s">
        <v>194</v>
      </c>
      <c r="E746" s="208">
        <v>19</v>
      </c>
      <c r="F746" s="209">
        <v>315</v>
      </c>
      <c r="G746" s="297">
        <f t="shared" si="41"/>
        <v>5985</v>
      </c>
    </row>
    <row r="747" spans="1:7" ht="11.25" customHeight="1">
      <c r="A747" s="1"/>
      <c r="B747" s="235">
        <v>260237</v>
      </c>
      <c r="C747" s="253" t="s">
        <v>540</v>
      </c>
      <c r="D747" s="1" t="s">
        <v>194</v>
      </c>
      <c r="E747" s="208">
        <v>8</v>
      </c>
      <c r="F747" s="209">
        <v>184</v>
      </c>
      <c r="G747" s="297">
        <f t="shared" si="41"/>
        <v>1472</v>
      </c>
    </row>
    <row r="748" spans="1:7" ht="22.5">
      <c r="A748" s="1"/>
      <c r="B748" s="235">
        <v>260236</v>
      </c>
      <c r="C748" s="253" t="s">
        <v>541</v>
      </c>
      <c r="D748" s="1" t="s">
        <v>194</v>
      </c>
      <c r="E748" s="208">
        <v>23</v>
      </c>
      <c r="F748" s="209">
        <v>453</v>
      </c>
      <c r="G748" s="297">
        <f t="shared" si="41"/>
        <v>10419</v>
      </c>
    </row>
    <row r="749" spans="1:7" ht="12.75" customHeight="1">
      <c r="A749" s="1"/>
      <c r="B749" s="235">
        <v>260235</v>
      </c>
      <c r="C749" s="253" t="s">
        <v>542</v>
      </c>
      <c r="D749" s="1" t="s">
        <v>194</v>
      </c>
      <c r="E749" s="208">
        <v>2</v>
      </c>
      <c r="F749" s="209">
        <v>582</v>
      </c>
      <c r="G749" s="297">
        <f t="shared" si="41"/>
        <v>1164</v>
      </c>
    </row>
    <row r="750" spans="1:7" ht="12.75" customHeight="1">
      <c r="A750" s="1"/>
      <c r="B750" s="235">
        <v>260220</v>
      </c>
      <c r="C750" s="253" t="s">
        <v>1019</v>
      </c>
      <c r="D750" s="1" t="s">
        <v>194</v>
      </c>
      <c r="E750" s="208">
        <v>5</v>
      </c>
      <c r="F750" s="209">
        <v>770</v>
      </c>
      <c r="G750" s="297">
        <f t="shared" si="41"/>
        <v>3850</v>
      </c>
    </row>
    <row r="751" spans="1:7" ht="22.5">
      <c r="A751" s="1"/>
      <c r="B751" s="235">
        <v>260210</v>
      </c>
      <c r="C751" s="253" t="s">
        <v>1020</v>
      </c>
      <c r="D751" s="1" t="s">
        <v>194</v>
      </c>
      <c r="E751" s="208">
        <v>9</v>
      </c>
      <c r="F751" s="209">
        <v>2000.16</v>
      </c>
      <c r="G751" s="297">
        <f t="shared" si="41"/>
        <v>18001.439999999999</v>
      </c>
    </row>
    <row r="752" spans="1:7">
      <c r="A752" s="1"/>
      <c r="B752" s="235"/>
      <c r="C752" s="253"/>
      <c r="D752" s="1"/>
      <c r="E752" s="208"/>
      <c r="F752" s="209"/>
      <c r="G752" s="315">
        <f>SUM(G728:G751)</f>
        <v>412703.94999999995</v>
      </c>
    </row>
    <row r="753" spans="1:7">
      <c r="A753" s="1"/>
      <c r="B753" s="235"/>
      <c r="C753" s="276" t="s">
        <v>288</v>
      </c>
      <c r="D753" s="1"/>
      <c r="E753" s="208"/>
      <c r="F753" s="209"/>
      <c r="G753" s="297"/>
    </row>
    <row r="754" spans="1:7">
      <c r="A754" s="1"/>
      <c r="B754" s="235">
        <v>260200</v>
      </c>
      <c r="C754" s="253" t="s">
        <v>274</v>
      </c>
      <c r="D754" s="1" t="s">
        <v>194</v>
      </c>
      <c r="E754" s="208">
        <v>5</v>
      </c>
      <c r="F754" s="209">
        <v>1334.55</v>
      </c>
      <c r="G754" s="297">
        <f t="shared" si="41"/>
        <v>6672.75</v>
      </c>
    </row>
    <row r="755" spans="1:7">
      <c r="A755" s="1"/>
      <c r="B755" s="235">
        <v>260201</v>
      </c>
      <c r="C755" s="253" t="s">
        <v>354</v>
      </c>
      <c r="D755" s="1" t="s">
        <v>194</v>
      </c>
      <c r="E755" s="208">
        <v>9</v>
      </c>
      <c r="F755" s="209">
        <v>1544</v>
      </c>
      <c r="G755" s="297">
        <f t="shared" si="41"/>
        <v>13896</v>
      </c>
    </row>
    <row r="756" spans="1:7">
      <c r="A756" s="1"/>
      <c r="B756" s="235">
        <v>260204</v>
      </c>
      <c r="C756" s="253" t="s">
        <v>275</v>
      </c>
      <c r="D756" s="1" t="s">
        <v>194</v>
      </c>
      <c r="E756" s="208">
        <v>5</v>
      </c>
      <c r="F756" s="209">
        <v>862</v>
      </c>
      <c r="G756" s="297">
        <f t="shared" si="41"/>
        <v>4310</v>
      </c>
    </row>
    <row r="757" spans="1:7">
      <c r="A757" s="1"/>
      <c r="B757" s="235">
        <v>260205</v>
      </c>
      <c r="C757" s="253" t="s">
        <v>355</v>
      </c>
      <c r="D757" s="1" t="s">
        <v>194</v>
      </c>
      <c r="E757" s="208">
        <v>9</v>
      </c>
      <c r="F757" s="209">
        <v>1197</v>
      </c>
      <c r="G757" s="297">
        <f t="shared" si="41"/>
        <v>10773</v>
      </c>
    </row>
    <row r="758" spans="1:7">
      <c r="A758" s="1"/>
      <c r="B758" s="235"/>
      <c r="C758" s="276"/>
      <c r="D758" s="1"/>
      <c r="E758" s="208"/>
      <c r="F758" s="209"/>
      <c r="G758" s="315">
        <f>SUM(G754:G757)</f>
        <v>35651.75</v>
      </c>
    </row>
    <row r="759" spans="1:7">
      <c r="A759" s="50" t="s">
        <v>156</v>
      </c>
      <c r="B759" s="235"/>
      <c r="C759" s="256" t="s">
        <v>147</v>
      </c>
      <c r="D759" s="1"/>
      <c r="E759" s="208"/>
      <c r="F759" s="296"/>
      <c r="G759" s="296">
        <f>SUM(G739,G752,G758)</f>
        <v>448355.69999999995</v>
      </c>
    </row>
    <row r="760" spans="1:7" ht="11.25" customHeight="1">
      <c r="A760" s="1"/>
      <c r="B760" s="235"/>
      <c r="C760" s="256"/>
      <c r="D760" s="1"/>
      <c r="E760" s="208"/>
      <c r="F760" s="296"/>
      <c r="G760" s="296"/>
    </row>
    <row r="761" spans="1:7">
      <c r="A761" s="1">
        <v>8</v>
      </c>
      <c r="B761" s="233">
        <v>8</v>
      </c>
      <c r="C761" s="254" t="s">
        <v>317</v>
      </c>
      <c r="D761" s="170"/>
      <c r="E761" s="178"/>
      <c r="F761" s="178"/>
      <c r="G761" s="178"/>
    </row>
    <row r="762" spans="1:7">
      <c r="A762" s="1"/>
      <c r="B762" s="242"/>
      <c r="C762" s="263" t="s">
        <v>1021</v>
      </c>
      <c r="D762" s="1"/>
      <c r="E762" s="49"/>
      <c r="F762" s="312"/>
      <c r="G762" s="310"/>
    </row>
    <row r="763" spans="1:7" ht="33.75">
      <c r="A763" s="1"/>
      <c r="B763" s="242" t="s">
        <v>239</v>
      </c>
      <c r="C763" s="277" t="s">
        <v>349</v>
      </c>
      <c r="D763" s="1" t="s">
        <v>348</v>
      </c>
      <c r="E763" s="49">
        <v>1</v>
      </c>
      <c r="F763" s="312">
        <f>388.08*1.2031</f>
        <v>466.89904799999999</v>
      </c>
      <c r="G763" s="310">
        <f>TRUNC(E763*F763,2)</f>
        <v>466.89</v>
      </c>
    </row>
    <row r="764" spans="1:7">
      <c r="A764" s="1"/>
      <c r="B764" s="242" t="s">
        <v>239</v>
      </c>
      <c r="C764" s="277" t="s">
        <v>1022</v>
      </c>
      <c r="D764" s="1" t="s">
        <v>478</v>
      </c>
      <c r="E764" s="49">
        <v>2</v>
      </c>
      <c r="F764" s="312">
        <f>70.56*1.2031</f>
        <v>84.890736000000004</v>
      </c>
      <c r="G764" s="310">
        <f t="shared" ref="G764:G827" si="42">TRUNC(E764*F764,2)</f>
        <v>169.78</v>
      </c>
    </row>
    <row r="765" spans="1:7">
      <c r="A765" s="1"/>
      <c r="B765" s="242" t="s">
        <v>239</v>
      </c>
      <c r="C765" s="277" t="s">
        <v>1023</v>
      </c>
      <c r="D765" s="1" t="s">
        <v>189</v>
      </c>
      <c r="E765" s="49">
        <v>70</v>
      </c>
      <c r="F765" s="312">
        <f>1.88*1.2031</f>
        <v>2.2618279999999999</v>
      </c>
      <c r="G765" s="310">
        <f t="shared" si="42"/>
        <v>158.32</v>
      </c>
    </row>
    <row r="766" spans="1:7">
      <c r="A766" s="1"/>
      <c r="B766" s="242" t="s">
        <v>239</v>
      </c>
      <c r="C766" s="277" t="s">
        <v>487</v>
      </c>
      <c r="D766" s="1" t="s">
        <v>348</v>
      </c>
      <c r="E766" s="49">
        <v>2</v>
      </c>
      <c r="F766" s="312">
        <f>7.8*1.2031</f>
        <v>9.3841800000000006</v>
      </c>
      <c r="G766" s="310">
        <f t="shared" si="42"/>
        <v>18.760000000000002</v>
      </c>
    </row>
    <row r="767" spans="1:7" ht="11.25" customHeight="1">
      <c r="A767" s="1"/>
      <c r="B767" s="242" t="s">
        <v>239</v>
      </c>
      <c r="C767" s="277" t="s">
        <v>488</v>
      </c>
      <c r="D767" s="1" t="s">
        <v>348</v>
      </c>
      <c r="E767" s="49">
        <v>1</v>
      </c>
      <c r="F767" s="312">
        <f>2.25*1.2031</f>
        <v>2.7069749999999999</v>
      </c>
      <c r="G767" s="310">
        <f t="shared" si="42"/>
        <v>2.7</v>
      </c>
    </row>
    <row r="768" spans="1:7" ht="12.75" customHeight="1">
      <c r="A768" s="1"/>
      <c r="B768" s="242" t="s">
        <v>1297</v>
      </c>
      <c r="C768" s="277" t="s">
        <v>1024</v>
      </c>
      <c r="D768" s="1" t="s">
        <v>478</v>
      </c>
      <c r="E768" s="49">
        <v>150</v>
      </c>
      <c r="F768" s="297">
        <v>21.84</v>
      </c>
      <c r="G768" s="310">
        <f t="shared" si="42"/>
        <v>3276</v>
      </c>
    </row>
    <row r="769" spans="1:7">
      <c r="A769" s="1"/>
      <c r="B769" s="242" t="s">
        <v>1298</v>
      </c>
      <c r="C769" s="277" t="s">
        <v>1025</v>
      </c>
      <c r="D769" s="1" t="s">
        <v>478</v>
      </c>
      <c r="E769" s="49">
        <v>700</v>
      </c>
      <c r="F769" s="297">
        <v>14.52</v>
      </c>
      <c r="G769" s="310">
        <f t="shared" si="42"/>
        <v>10164</v>
      </c>
    </row>
    <row r="770" spans="1:7" ht="33.75">
      <c r="A770" s="1"/>
      <c r="B770" s="242" t="s">
        <v>239</v>
      </c>
      <c r="C770" s="277" t="s">
        <v>1026</v>
      </c>
      <c r="D770" s="1" t="s">
        <v>348</v>
      </c>
      <c r="E770" s="49">
        <v>1</v>
      </c>
      <c r="F770" s="312">
        <f>187.07*1.2031</f>
        <v>225.063917</v>
      </c>
      <c r="G770" s="310">
        <f t="shared" si="42"/>
        <v>225.06</v>
      </c>
    </row>
    <row r="771" spans="1:7">
      <c r="A771" s="1"/>
      <c r="B771" s="242" t="s">
        <v>1299</v>
      </c>
      <c r="C771" s="277" t="s">
        <v>1027</v>
      </c>
      <c r="D771" s="1" t="s">
        <v>348</v>
      </c>
      <c r="E771" s="49">
        <v>13</v>
      </c>
      <c r="F771" s="297">
        <f>VLOOKUP(B771,[1]Plan1!A$1:D$65536,4,FALSE)</f>
        <v>52.8</v>
      </c>
      <c r="G771" s="310">
        <f t="shared" si="42"/>
        <v>686.4</v>
      </c>
    </row>
    <row r="772" spans="1:7">
      <c r="A772" s="1"/>
      <c r="B772" s="242" t="s">
        <v>1300</v>
      </c>
      <c r="C772" s="277" t="s">
        <v>1028</v>
      </c>
      <c r="D772" s="1" t="s">
        <v>348</v>
      </c>
      <c r="E772" s="49">
        <v>1</v>
      </c>
      <c r="F772" s="297">
        <f>VLOOKUP(B772,[1]Plan1!A$1:D$65536,4,FALSE)</f>
        <v>70.180000000000007</v>
      </c>
      <c r="G772" s="310">
        <f t="shared" si="42"/>
        <v>70.180000000000007</v>
      </c>
    </row>
    <row r="773" spans="1:7" ht="24.95" customHeight="1">
      <c r="A773" s="1"/>
      <c r="B773" s="242" t="s">
        <v>239</v>
      </c>
      <c r="C773" s="277" t="s">
        <v>1029</v>
      </c>
      <c r="D773" s="1" t="s">
        <v>348</v>
      </c>
      <c r="E773" s="49">
        <v>1</v>
      </c>
      <c r="F773" s="173">
        <f>57*1.2031</f>
        <v>68.576700000000002</v>
      </c>
      <c r="G773" s="310">
        <f t="shared" si="42"/>
        <v>68.569999999999993</v>
      </c>
    </row>
    <row r="774" spans="1:7" ht="24.95" customHeight="1">
      <c r="A774" s="1"/>
      <c r="B774" s="242" t="s">
        <v>239</v>
      </c>
      <c r="C774" s="277" t="s">
        <v>1030</v>
      </c>
      <c r="D774" s="1" t="s">
        <v>348</v>
      </c>
      <c r="E774" s="49">
        <v>1</v>
      </c>
      <c r="F774" s="173">
        <f>25.62*1.2031</f>
        <v>30.823422000000004</v>
      </c>
      <c r="G774" s="310">
        <f t="shared" si="42"/>
        <v>30.82</v>
      </c>
    </row>
    <row r="775" spans="1:7" ht="12.75" customHeight="1">
      <c r="A775" s="1"/>
      <c r="B775" s="242" t="s">
        <v>239</v>
      </c>
      <c r="C775" s="277" t="s">
        <v>1031</v>
      </c>
      <c r="D775" s="1" t="s">
        <v>348</v>
      </c>
      <c r="E775" s="49">
        <v>1</v>
      </c>
      <c r="F775" s="173">
        <f>18.2*1.2031</f>
        <v>21.896419999999999</v>
      </c>
      <c r="G775" s="310">
        <f t="shared" si="42"/>
        <v>21.89</v>
      </c>
    </row>
    <row r="776" spans="1:7" ht="12.75" customHeight="1">
      <c r="A776" s="1"/>
      <c r="B776" s="242" t="s">
        <v>1301</v>
      </c>
      <c r="C776" s="277" t="s">
        <v>1032</v>
      </c>
      <c r="D776" s="1" t="s">
        <v>189</v>
      </c>
      <c r="E776" s="49">
        <v>3200</v>
      </c>
      <c r="F776" s="297">
        <f>VLOOKUP(B776,[1]Plan1!A$1:D$65536,4,FALSE)</f>
        <v>1.67</v>
      </c>
      <c r="G776" s="310">
        <f t="shared" si="42"/>
        <v>5344</v>
      </c>
    </row>
    <row r="777" spans="1:7" ht="12.75" customHeight="1">
      <c r="A777" s="1"/>
      <c r="B777" s="242" t="s">
        <v>1301</v>
      </c>
      <c r="C777" s="277" t="s">
        <v>1033</v>
      </c>
      <c r="D777" s="1" t="s">
        <v>189</v>
      </c>
      <c r="E777" s="49">
        <v>1000</v>
      </c>
      <c r="F777" s="297">
        <f>VLOOKUP(B777,[1]Plan1!A$1:D$65536,4,FALSE)</f>
        <v>1.67</v>
      </c>
      <c r="G777" s="310">
        <f t="shared" si="42"/>
        <v>1670</v>
      </c>
    </row>
    <row r="778" spans="1:7">
      <c r="A778" s="1"/>
      <c r="B778" s="242" t="s">
        <v>1302</v>
      </c>
      <c r="C778" s="277" t="s">
        <v>1034</v>
      </c>
      <c r="D778" s="1" t="s">
        <v>189</v>
      </c>
      <c r="E778" s="49">
        <v>220</v>
      </c>
      <c r="F778" s="297">
        <f>VLOOKUP(B778,[1]Plan1!A$1:D$65536,4,FALSE)</f>
        <v>2.44</v>
      </c>
      <c r="G778" s="310">
        <f t="shared" si="42"/>
        <v>536.79999999999995</v>
      </c>
    </row>
    <row r="779" spans="1:7" ht="12.75" customHeight="1">
      <c r="A779" s="1"/>
      <c r="B779" s="242" t="s">
        <v>1302</v>
      </c>
      <c r="C779" s="277" t="s">
        <v>1035</v>
      </c>
      <c r="D779" s="1" t="s">
        <v>189</v>
      </c>
      <c r="E779" s="49">
        <v>110</v>
      </c>
      <c r="F779" s="297">
        <f>VLOOKUP(B779,[1]Plan1!A$1:D$65536,4,FALSE)</f>
        <v>2.44</v>
      </c>
      <c r="G779" s="310">
        <f t="shared" si="42"/>
        <v>268.39999999999998</v>
      </c>
    </row>
    <row r="780" spans="1:7" ht="12.75" customHeight="1">
      <c r="A780" s="1"/>
      <c r="B780" s="242" t="s">
        <v>239</v>
      </c>
      <c r="C780" s="277" t="s">
        <v>1036</v>
      </c>
      <c r="D780" s="1" t="s">
        <v>348</v>
      </c>
      <c r="E780" s="49">
        <v>2</v>
      </c>
      <c r="F780" s="312">
        <f>29.6*1.2031</f>
        <v>35.611760000000004</v>
      </c>
      <c r="G780" s="310">
        <f t="shared" si="42"/>
        <v>71.22</v>
      </c>
    </row>
    <row r="781" spans="1:7">
      <c r="A781" s="1"/>
      <c r="B781" s="242" t="s">
        <v>239</v>
      </c>
      <c r="C781" s="277" t="s">
        <v>1037</v>
      </c>
      <c r="D781" s="1" t="s">
        <v>348</v>
      </c>
      <c r="E781" s="49">
        <v>1</v>
      </c>
      <c r="F781" s="312">
        <f>9.24*1.2031</f>
        <v>11.116644000000001</v>
      </c>
      <c r="G781" s="310">
        <f t="shared" si="42"/>
        <v>11.11</v>
      </c>
    </row>
    <row r="782" spans="1:7">
      <c r="A782" s="1"/>
      <c r="B782" s="242" t="s">
        <v>239</v>
      </c>
      <c r="C782" s="277" t="s">
        <v>1344</v>
      </c>
      <c r="D782" s="1" t="s">
        <v>348</v>
      </c>
      <c r="E782" s="49">
        <v>85</v>
      </c>
      <c r="F782" s="312">
        <f>4.26*1.2031</f>
        <v>5.1252060000000004</v>
      </c>
      <c r="G782" s="310">
        <f t="shared" si="42"/>
        <v>435.64</v>
      </c>
    </row>
    <row r="783" spans="1:7">
      <c r="A783" s="1"/>
      <c r="B783" s="242" t="s">
        <v>239</v>
      </c>
      <c r="C783" s="277" t="s">
        <v>1345</v>
      </c>
      <c r="D783" s="1" t="s">
        <v>348</v>
      </c>
      <c r="E783" s="49">
        <v>55</v>
      </c>
      <c r="F783" s="312">
        <f t="shared" ref="F783:F789" si="43">4.26*1.2031</f>
        <v>5.1252060000000004</v>
      </c>
      <c r="G783" s="310">
        <f t="shared" si="42"/>
        <v>281.88</v>
      </c>
    </row>
    <row r="784" spans="1:7">
      <c r="A784" s="1"/>
      <c r="B784" s="242" t="s">
        <v>239</v>
      </c>
      <c r="C784" s="277" t="s">
        <v>1346</v>
      </c>
      <c r="D784" s="1" t="s">
        <v>348</v>
      </c>
      <c r="E784" s="49">
        <v>6</v>
      </c>
      <c r="F784" s="312">
        <f t="shared" si="43"/>
        <v>5.1252060000000004</v>
      </c>
      <c r="G784" s="310">
        <f t="shared" si="42"/>
        <v>30.75</v>
      </c>
    </row>
    <row r="785" spans="1:7">
      <c r="A785" s="1"/>
      <c r="B785" s="242" t="s">
        <v>239</v>
      </c>
      <c r="C785" s="277" t="s">
        <v>1347</v>
      </c>
      <c r="D785" s="1" t="s">
        <v>348</v>
      </c>
      <c r="E785" s="49">
        <v>5</v>
      </c>
      <c r="F785" s="312">
        <f t="shared" si="43"/>
        <v>5.1252060000000004</v>
      </c>
      <c r="G785" s="310">
        <f t="shared" si="42"/>
        <v>25.62</v>
      </c>
    </row>
    <row r="786" spans="1:7">
      <c r="A786" s="1"/>
      <c r="B786" s="242" t="s">
        <v>239</v>
      </c>
      <c r="C786" s="277" t="s">
        <v>1348</v>
      </c>
      <c r="D786" s="1" t="s">
        <v>348</v>
      </c>
      <c r="E786" s="49">
        <v>13</v>
      </c>
      <c r="F786" s="312">
        <f t="shared" si="43"/>
        <v>5.1252060000000004</v>
      </c>
      <c r="G786" s="310">
        <f t="shared" si="42"/>
        <v>66.62</v>
      </c>
    </row>
    <row r="787" spans="1:7">
      <c r="A787" s="1"/>
      <c r="B787" s="242" t="s">
        <v>239</v>
      </c>
      <c r="C787" s="277" t="s">
        <v>1349</v>
      </c>
      <c r="D787" s="1" t="s">
        <v>348</v>
      </c>
      <c r="E787" s="49">
        <v>13</v>
      </c>
      <c r="F787" s="312">
        <f t="shared" si="43"/>
        <v>5.1252060000000004</v>
      </c>
      <c r="G787" s="310">
        <f t="shared" si="42"/>
        <v>66.62</v>
      </c>
    </row>
    <row r="788" spans="1:7" ht="12.75" customHeight="1">
      <c r="A788" s="1"/>
      <c r="B788" s="242" t="s">
        <v>239</v>
      </c>
      <c r="C788" s="277" t="s">
        <v>1350</v>
      </c>
      <c r="D788" s="1" t="s">
        <v>348</v>
      </c>
      <c r="E788" s="49">
        <v>22</v>
      </c>
      <c r="F788" s="312">
        <f t="shared" si="43"/>
        <v>5.1252060000000004</v>
      </c>
      <c r="G788" s="310">
        <f t="shared" si="42"/>
        <v>112.75</v>
      </c>
    </row>
    <row r="789" spans="1:7">
      <c r="A789" s="1"/>
      <c r="B789" s="242" t="s">
        <v>239</v>
      </c>
      <c r="C789" s="277" t="s">
        <v>1351</v>
      </c>
      <c r="D789" s="1" t="s">
        <v>348</v>
      </c>
      <c r="E789" s="49">
        <v>2</v>
      </c>
      <c r="F789" s="312">
        <f t="shared" si="43"/>
        <v>5.1252060000000004</v>
      </c>
      <c r="G789" s="310">
        <f t="shared" si="42"/>
        <v>10.25</v>
      </c>
    </row>
    <row r="790" spans="1:7" ht="191.25">
      <c r="A790" s="1"/>
      <c r="B790" s="242"/>
      <c r="C790" s="277" t="s">
        <v>1038</v>
      </c>
      <c r="D790" s="1" t="s">
        <v>251</v>
      </c>
      <c r="E790" s="49">
        <v>10</v>
      </c>
      <c r="F790" s="312">
        <f>178*1.2031</f>
        <v>214.15180000000001</v>
      </c>
      <c r="G790" s="310">
        <f t="shared" si="42"/>
        <v>2141.5100000000002</v>
      </c>
    </row>
    <row r="791" spans="1:7" ht="56.25">
      <c r="A791" s="1"/>
      <c r="B791" s="93"/>
      <c r="C791" s="277" t="s">
        <v>560</v>
      </c>
      <c r="D791" s="1" t="s">
        <v>251</v>
      </c>
      <c r="E791" s="49">
        <v>193</v>
      </c>
      <c r="F791" s="312">
        <f>595*1.2031</f>
        <v>715.84450000000004</v>
      </c>
      <c r="G791" s="310">
        <f t="shared" si="42"/>
        <v>138157.98000000001</v>
      </c>
    </row>
    <row r="792" spans="1:7">
      <c r="A792" s="1"/>
      <c r="B792" s="242"/>
      <c r="C792" s="277"/>
      <c r="D792" s="1"/>
      <c r="E792" s="49"/>
      <c r="F792" s="312"/>
      <c r="G792" s="310"/>
    </row>
    <row r="793" spans="1:7">
      <c r="A793" s="1"/>
      <c r="B793" s="242"/>
      <c r="C793" s="263" t="s">
        <v>1039</v>
      </c>
      <c r="D793" s="1"/>
      <c r="E793" s="49"/>
      <c r="F793" s="312"/>
      <c r="G793" s="310"/>
    </row>
    <row r="794" spans="1:7">
      <c r="A794" s="1"/>
      <c r="B794" s="242"/>
      <c r="C794" s="278" t="s">
        <v>351</v>
      </c>
      <c r="D794" s="1"/>
      <c r="E794" s="49"/>
      <c r="F794" s="312"/>
      <c r="G794" s="310"/>
    </row>
    <row r="795" spans="1:7" ht="33.75">
      <c r="A795" s="1"/>
      <c r="B795" s="242" t="s">
        <v>239</v>
      </c>
      <c r="C795" s="277" t="s">
        <v>349</v>
      </c>
      <c r="D795" s="1" t="s">
        <v>348</v>
      </c>
      <c r="E795" s="49">
        <v>2</v>
      </c>
      <c r="F795" s="312">
        <f>388.08*1.2031</f>
        <v>466.89904799999999</v>
      </c>
      <c r="G795" s="310">
        <f t="shared" si="42"/>
        <v>933.79</v>
      </c>
    </row>
    <row r="796" spans="1:7">
      <c r="A796" s="1"/>
      <c r="B796" s="242" t="s">
        <v>239</v>
      </c>
      <c r="C796" s="277" t="s">
        <v>1040</v>
      </c>
      <c r="D796" s="1" t="s">
        <v>251</v>
      </c>
      <c r="E796" s="49">
        <v>19</v>
      </c>
      <c r="F796" s="312">
        <f>19.22*1.2031</f>
        <v>23.123581999999999</v>
      </c>
      <c r="G796" s="310">
        <f t="shared" si="42"/>
        <v>439.34</v>
      </c>
    </row>
    <row r="797" spans="1:7">
      <c r="A797" s="1"/>
      <c r="B797" s="242" t="s">
        <v>239</v>
      </c>
      <c r="C797" s="277" t="s">
        <v>1041</v>
      </c>
      <c r="D797" s="1" t="s">
        <v>251</v>
      </c>
      <c r="E797" s="49">
        <v>3</v>
      </c>
      <c r="F797" s="312">
        <f>115.94*1.2031</f>
        <v>139.487414</v>
      </c>
      <c r="G797" s="310">
        <f t="shared" si="42"/>
        <v>418.46</v>
      </c>
    </row>
    <row r="798" spans="1:7" ht="22.5">
      <c r="A798" s="1"/>
      <c r="B798" s="242" t="s">
        <v>239</v>
      </c>
      <c r="C798" s="277" t="s">
        <v>1042</v>
      </c>
      <c r="D798" s="1" t="s">
        <v>348</v>
      </c>
      <c r="E798" s="49">
        <v>1</v>
      </c>
      <c r="F798" s="312">
        <f>187.07*1.2031</f>
        <v>225.063917</v>
      </c>
      <c r="G798" s="310">
        <f t="shared" si="42"/>
        <v>225.06</v>
      </c>
    </row>
    <row r="799" spans="1:7">
      <c r="A799" s="1"/>
      <c r="B799" s="242" t="s">
        <v>1303</v>
      </c>
      <c r="C799" s="277" t="s">
        <v>1043</v>
      </c>
      <c r="D799" s="1" t="s">
        <v>348</v>
      </c>
      <c r="E799" s="49">
        <v>2</v>
      </c>
      <c r="F799" s="297">
        <f>VLOOKUP(B799,[1]Plan1!A$1:D$65536,4,FALSE)</f>
        <v>14.85</v>
      </c>
      <c r="G799" s="310">
        <f t="shared" si="42"/>
        <v>29.7</v>
      </c>
    </row>
    <row r="800" spans="1:7">
      <c r="A800" s="1"/>
      <c r="B800" s="242" t="s">
        <v>1299</v>
      </c>
      <c r="C800" s="277" t="s">
        <v>1044</v>
      </c>
      <c r="D800" s="1" t="s">
        <v>348</v>
      </c>
      <c r="E800" s="49">
        <v>1</v>
      </c>
      <c r="F800" s="297">
        <f>VLOOKUP(B800,[1]Plan1!A$1:D$65536,4,FALSE)</f>
        <v>52.8</v>
      </c>
      <c r="G800" s="310">
        <f t="shared" si="42"/>
        <v>52.8</v>
      </c>
    </row>
    <row r="801" spans="1:7" ht="11.25" customHeight="1">
      <c r="A801" s="1"/>
      <c r="B801" s="242" t="s">
        <v>1304</v>
      </c>
      <c r="C801" s="277" t="s">
        <v>1045</v>
      </c>
      <c r="D801" s="1" t="s">
        <v>348</v>
      </c>
      <c r="E801" s="49">
        <v>1</v>
      </c>
      <c r="F801" s="297">
        <f>VLOOKUP(B801,[1]Plan1!A$1:D$65536,4,FALSE)</f>
        <v>52.8</v>
      </c>
      <c r="G801" s="310">
        <f t="shared" si="42"/>
        <v>52.8</v>
      </c>
    </row>
    <row r="802" spans="1:7">
      <c r="A802" s="1"/>
      <c r="B802" s="242" t="s">
        <v>1304</v>
      </c>
      <c r="C802" s="277" t="s">
        <v>490</v>
      </c>
      <c r="D802" s="1" t="s">
        <v>348</v>
      </c>
      <c r="E802" s="49">
        <v>2</v>
      </c>
      <c r="F802" s="297">
        <f>VLOOKUP(B802,[1]Plan1!A$1:D$65536,4,FALSE)</f>
        <v>52.8</v>
      </c>
      <c r="G802" s="310">
        <f t="shared" si="42"/>
        <v>105.6</v>
      </c>
    </row>
    <row r="803" spans="1:7" ht="12.75" customHeight="1">
      <c r="A803" s="1"/>
      <c r="B803" s="242" t="s">
        <v>1305</v>
      </c>
      <c r="C803" s="277" t="s">
        <v>1046</v>
      </c>
      <c r="D803" s="1" t="s">
        <v>348</v>
      </c>
      <c r="E803" s="49">
        <v>4</v>
      </c>
      <c r="F803" s="297">
        <f>VLOOKUP(B803,[1]Plan1!A$1:D$65536,4,FALSE)</f>
        <v>70.180000000000007</v>
      </c>
      <c r="G803" s="310">
        <f t="shared" si="42"/>
        <v>280.72000000000003</v>
      </c>
    </row>
    <row r="804" spans="1:7">
      <c r="A804" s="1"/>
      <c r="B804" s="242" t="s">
        <v>1306</v>
      </c>
      <c r="C804" s="277" t="s">
        <v>1047</v>
      </c>
      <c r="D804" s="1" t="s">
        <v>348</v>
      </c>
      <c r="E804" s="49">
        <v>2</v>
      </c>
      <c r="F804" s="297">
        <f>VLOOKUP(B804,[1]Plan1!A$1:D$65536,4,FALSE)</f>
        <v>70.180000000000007</v>
      </c>
      <c r="G804" s="310">
        <f t="shared" si="42"/>
        <v>140.36000000000001</v>
      </c>
    </row>
    <row r="805" spans="1:7">
      <c r="A805" s="1"/>
      <c r="B805" s="242" t="s">
        <v>1300</v>
      </c>
      <c r="C805" s="277" t="s">
        <v>1048</v>
      </c>
      <c r="D805" s="1" t="s">
        <v>348</v>
      </c>
      <c r="E805" s="49">
        <v>2</v>
      </c>
      <c r="F805" s="297">
        <f>VLOOKUP(B805,[1]Plan1!A$1:D$65536,4,FALSE)</f>
        <v>70.180000000000007</v>
      </c>
      <c r="G805" s="310">
        <f t="shared" si="42"/>
        <v>140.36000000000001</v>
      </c>
    </row>
    <row r="806" spans="1:7">
      <c r="A806" s="1"/>
      <c r="B806" s="242" t="s">
        <v>239</v>
      </c>
      <c r="C806" s="277" t="s">
        <v>1049</v>
      </c>
      <c r="D806" s="1" t="s">
        <v>348</v>
      </c>
      <c r="E806" s="49">
        <v>1</v>
      </c>
      <c r="F806" s="312">
        <f>107.349*1.2031</f>
        <v>129.15158190000002</v>
      </c>
      <c r="G806" s="310">
        <f t="shared" si="42"/>
        <v>129.15</v>
      </c>
    </row>
    <row r="807" spans="1:7">
      <c r="A807" s="1"/>
      <c r="B807" s="242" t="s">
        <v>239</v>
      </c>
      <c r="C807" s="277" t="s">
        <v>1030</v>
      </c>
      <c r="D807" s="1" t="s">
        <v>348</v>
      </c>
      <c r="E807" s="49">
        <v>1</v>
      </c>
      <c r="F807" s="312">
        <f>25.62*1.2031</f>
        <v>30.823422000000004</v>
      </c>
      <c r="G807" s="310">
        <f t="shared" si="42"/>
        <v>30.82</v>
      </c>
    </row>
    <row r="808" spans="1:7" ht="22.5">
      <c r="A808" s="1"/>
      <c r="B808" s="242" t="s">
        <v>239</v>
      </c>
      <c r="C808" s="258" t="s">
        <v>479</v>
      </c>
      <c r="D808" s="90" t="s">
        <v>189</v>
      </c>
      <c r="E808" s="317">
        <v>300</v>
      </c>
      <c r="F808" s="317">
        <f>0.98*1.2031</f>
        <v>1.179038</v>
      </c>
      <c r="G808" s="310">
        <f t="shared" si="42"/>
        <v>353.71</v>
      </c>
    </row>
    <row r="809" spans="1:7">
      <c r="A809" s="1"/>
      <c r="B809" s="242" t="s">
        <v>239</v>
      </c>
      <c r="C809" s="258" t="s">
        <v>1050</v>
      </c>
      <c r="D809" s="90" t="s">
        <v>189</v>
      </c>
      <c r="E809" s="317">
        <v>80</v>
      </c>
      <c r="F809" s="318">
        <f>1.22*1.2031</f>
        <v>1.4677820000000001</v>
      </c>
      <c r="G809" s="310">
        <f t="shared" si="42"/>
        <v>117.42</v>
      </c>
    </row>
    <row r="810" spans="1:7" ht="12.75" customHeight="1">
      <c r="A810" s="1"/>
      <c r="B810" s="242" t="s">
        <v>239</v>
      </c>
      <c r="C810" s="258" t="s">
        <v>480</v>
      </c>
      <c r="D810" s="90" t="s">
        <v>189</v>
      </c>
      <c r="E810" s="317">
        <v>90</v>
      </c>
      <c r="F810" s="318">
        <f>1.88*1.2031</f>
        <v>2.2618279999999999</v>
      </c>
      <c r="G810" s="310">
        <f t="shared" si="42"/>
        <v>203.56</v>
      </c>
    </row>
    <row r="811" spans="1:7">
      <c r="A811" s="1"/>
      <c r="B811" s="242" t="s">
        <v>239</v>
      </c>
      <c r="C811" s="258" t="s">
        <v>1051</v>
      </c>
      <c r="D811" s="90" t="s">
        <v>348</v>
      </c>
      <c r="E811" s="317">
        <v>250</v>
      </c>
      <c r="F811" s="318">
        <f>2.63*1.2031</f>
        <v>3.1641530000000002</v>
      </c>
      <c r="G811" s="310">
        <f t="shared" si="42"/>
        <v>791.03</v>
      </c>
    </row>
    <row r="812" spans="1:7">
      <c r="A812" s="1"/>
      <c r="B812" s="242" t="s">
        <v>239</v>
      </c>
      <c r="C812" s="258" t="s">
        <v>1052</v>
      </c>
      <c r="D812" s="90" t="s">
        <v>348</v>
      </c>
      <c r="E812" s="317">
        <v>12</v>
      </c>
      <c r="F812" s="312">
        <f>4*1.2031</f>
        <v>4.8124000000000002</v>
      </c>
      <c r="G812" s="310">
        <f t="shared" si="42"/>
        <v>57.74</v>
      </c>
    </row>
    <row r="813" spans="1:7">
      <c r="A813" s="1"/>
      <c r="B813" s="242" t="s">
        <v>239</v>
      </c>
      <c r="C813" s="258" t="s">
        <v>1053</v>
      </c>
      <c r="D813" s="90" t="s">
        <v>348</v>
      </c>
      <c r="E813" s="317">
        <v>9</v>
      </c>
      <c r="F813" s="312">
        <f>1.5*1.2031</f>
        <v>1.8046500000000001</v>
      </c>
      <c r="G813" s="310">
        <f t="shared" si="42"/>
        <v>16.239999999999998</v>
      </c>
    </row>
    <row r="814" spans="1:7">
      <c r="A814" s="1"/>
      <c r="B814" s="242" t="s">
        <v>239</v>
      </c>
      <c r="C814" s="258" t="s">
        <v>559</v>
      </c>
      <c r="D814" s="90" t="s">
        <v>348</v>
      </c>
      <c r="E814" s="317">
        <v>12</v>
      </c>
      <c r="F814" s="312">
        <f>2.8*1.2031</f>
        <v>3.3686799999999999</v>
      </c>
      <c r="G814" s="310">
        <f t="shared" si="42"/>
        <v>40.42</v>
      </c>
    </row>
    <row r="815" spans="1:7">
      <c r="A815" s="1"/>
      <c r="B815" s="242" t="s">
        <v>239</v>
      </c>
      <c r="C815" s="258" t="s">
        <v>1054</v>
      </c>
      <c r="D815" s="90" t="s">
        <v>348</v>
      </c>
      <c r="E815" s="317">
        <v>9</v>
      </c>
      <c r="F815" s="312">
        <f>3.5*1.2031</f>
        <v>4.2108500000000006</v>
      </c>
      <c r="G815" s="310">
        <f t="shared" si="42"/>
        <v>37.89</v>
      </c>
    </row>
    <row r="816" spans="1:7">
      <c r="A816" s="1"/>
      <c r="B816" s="242" t="s">
        <v>239</v>
      </c>
      <c r="C816" s="258" t="s">
        <v>1055</v>
      </c>
      <c r="D816" s="90" t="s">
        <v>348</v>
      </c>
      <c r="E816" s="317">
        <v>2</v>
      </c>
      <c r="F816" s="318">
        <f>2.25*1.2031</f>
        <v>2.7069749999999999</v>
      </c>
      <c r="G816" s="310">
        <f t="shared" si="42"/>
        <v>5.41</v>
      </c>
    </row>
    <row r="817" spans="1:7">
      <c r="A817" s="1"/>
      <c r="B817" s="235" t="s">
        <v>239</v>
      </c>
      <c r="C817" s="258" t="s">
        <v>559</v>
      </c>
      <c r="D817" s="90" t="s">
        <v>348</v>
      </c>
      <c r="E817" s="317">
        <v>3</v>
      </c>
      <c r="F817" s="318">
        <f>2.25*1.2031</f>
        <v>2.7069749999999999</v>
      </c>
      <c r="G817" s="310">
        <f t="shared" si="42"/>
        <v>8.1199999999999992</v>
      </c>
    </row>
    <row r="818" spans="1:7" ht="11.25" customHeight="1">
      <c r="A818" s="1"/>
      <c r="B818" s="235" t="s">
        <v>239</v>
      </c>
      <c r="C818" s="258" t="s">
        <v>481</v>
      </c>
      <c r="D818" s="90" t="s">
        <v>348</v>
      </c>
      <c r="E818" s="319">
        <v>5</v>
      </c>
      <c r="F818" s="318">
        <f>2.25*1.2031</f>
        <v>2.7069749999999999</v>
      </c>
      <c r="G818" s="310">
        <f t="shared" si="42"/>
        <v>13.53</v>
      </c>
    </row>
    <row r="819" spans="1:7" ht="11.25" customHeight="1">
      <c r="A819" s="1"/>
      <c r="B819" s="235" t="s">
        <v>239</v>
      </c>
      <c r="C819" s="258" t="s">
        <v>1054</v>
      </c>
      <c r="D819" s="90" t="s">
        <v>348</v>
      </c>
      <c r="E819" s="319">
        <v>1</v>
      </c>
      <c r="F819" s="318">
        <f>2.25*1.2031</f>
        <v>2.7069749999999999</v>
      </c>
      <c r="G819" s="310">
        <f t="shared" si="42"/>
        <v>2.7</v>
      </c>
    </row>
    <row r="820" spans="1:7" ht="12.75" customHeight="1">
      <c r="A820" s="1"/>
      <c r="B820" s="235" t="s">
        <v>239</v>
      </c>
      <c r="C820" s="258" t="s">
        <v>1056</v>
      </c>
      <c r="D820" s="90" t="s">
        <v>189</v>
      </c>
      <c r="E820" s="319">
        <v>2</v>
      </c>
      <c r="F820" s="318">
        <f>70.56*1.2031</f>
        <v>84.890736000000004</v>
      </c>
      <c r="G820" s="310">
        <f t="shared" si="42"/>
        <v>169.78</v>
      </c>
    </row>
    <row r="821" spans="1:7" ht="12.75" customHeight="1">
      <c r="A821" s="1"/>
      <c r="B821" s="235" t="s">
        <v>239</v>
      </c>
      <c r="C821" s="258" t="s">
        <v>1057</v>
      </c>
      <c r="D821" s="90" t="s">
        <v>189</v>
      </c>
      <c r="E821" s="317">
        <v>2</v>
      </c>
      <c r="F821" s="318">
        <f>97.5*1.2031</f>
        <v>117.30225</v>
      </c>
      <c r="G821" s="310">
        <f t="shared" si="42"/>
        <v>234.6</v>
      </c>
    </row>
    <row r="822" spans="1:7" ht="189" customHeight="1">
      <c r="A822" s="1"/>
      <c r="B822" s="243" t="s">
        <v>631</v>
      </c>
      <c r="C822" s="258" t="s">
        <v>350</v>
      </c>
      <c r="D822" s="90" t="s">
        <v>252</v>
      </c>
      <c r="E822" s="312">
        <v>24</v>
      </c>
      <c r="F822" s="312">
        <v>305.58</v>
      </c>
      <c r="G822" s="310">
        <f t="shared" si="42"/>
        <v>7333.92</v>
      </c>
    </row>
    <row r="823" spans="1:7">
      <c r="A823" s="1"/>
      <c r="B823" s="235" t="s">
        <v>239</v>
      </c>
      <c r="C823" s="258" t="s">
        <v>1058</v>
      </c>
      <c r="D823" s="90" t="s">
        <v>348</v>
      </c>
      <c r="E823" s="317">
        <v>1</v>
      </c>
      <c r="F823" s="318">
        <f>1.01*1.2031</f>
        <v>1.215131</v>
      </c>
      <c r="G823" s="310">
        <f t="shared" si="42"/>
        <v>1.21</v>
      </c>
    </row>
    <row r="824" spans="1:7">
      <c r="A824" s="1"/>
      <c r="B824" s="235" t="s">
        <v>1307</v>
      </c>
      <c r="C824" s="258" t="s">
        <v>1059</v>
      </c>
      <c r="D824" s="90" t="s">
        <v>348</v>
      </c>
      <c r="E824" s="317">
        <v>2</v>
      </c>
      <c r="F824" s="297">
        <f>VLOOKUP(B824,[1]Plan1!A$1:D$65536,4,FALSE)</f>
        <v>5.51</v>
      </c>
      <c r="G824" s="310">
        <f t="shared" si="42"/>
        <v>11.02</v>
      </c>
    </row>
    <row r="825" spans="1:7">
      <c r="A825" s="1"/>
      <c r="B825" s="235" t="s">
        <v>1308</v>
      </c>
      <c r="C825" s="258" t="s">
        <v>1060</v>
      </c>
      <c r="D825" s="90" t="s">
        <v>348</v>
      </c>
      <c r="E825" s="317">
        <v>1</v>
      </c>
      <c r="F825" s="297">
        <f>VLOOKUP(B825,[1]Plan1!A$1:D$65536,4,FALSE)</f>
        <v>12.2</v>
      </c>
      <c r="G825" s="310">
        <f t="shared" si="42"/>
        <v>12.2</v>
      </c>
    </row>
    <row r="826" spans="1:7">
      <c r="A826" s="1"/>
      <c r="B826" s="235" t="s">
        <v>239</v>
      </c>
      <c r="C826" s="258" t="s">
        <v>1061</v>
      </c>
      <c r="D826" s="90" t="s">
        <v>348</v>
      </c>
      <c r="E826" s="317">
        <v>1</v>
      </c>
      <c r="F826" s="318">
        <f>5.36*1.2031</f>
        <v>6.4486160000000003</v>
      </c>
      <c r="G826" s="310">
        <f t="shared" si="42"/>
        <v>6.44</v>
      </c>
    </row>
    <row r="827" spans="1:7">
      <c r="A827" s="1"/>
      <c r="B827" s="235" t="s">
        <v>239</v>
      </c>
      <c r="C827" s="258" t="s">
        <v>1062</v>
      </c>
      <c r="D827" s="90" t="s">
        <v>348</v>
      </c>
      <c r="E827" s="317">
        <v>2</v>
      </c>
      <c r="F827" s="312">
        <f>31.2*1.2031</f>
        <v>37.536720000000003</v>
      </c>
      <c r="G827" s="310">
        <f t="shared" si="42"/>
        <v>75.069999999999993</v>
      </c>
    </row>
    <row r="828" spans="1:7" ht="12.75" customHeight="1">
      <c r="A828" s="1"/>
      <c r="B828" s="235" t="s">
        <v>1309</v>
      </c>
      <c r="C828" s="252" t="s">
        <v>235</v>
      </c>
      <c r="D828" s="91" t="s">
        <v>348</v>
      </c>
      <c r="E828" s="320">
        <v>11</v>
      </c>
      <c r="F828" s="297">
        <f>VLOOKUP(B828,[1]Plan1!A$1:D$65536,4,FALSE)</f>
        <v>48.15</v>
      </c>
      <c r="G828" s="310">
        <f t="shared" ref="G828:G891" si="44">TRUNC(E828*F828,2)</f>
        <v>529.65</v>
      </c>
    </row>
    <row r="829" spans="1:7" ht="12.75" customHeight="1">
      <c r="A829" s="1"/>
      <c r="B829" s="235" t="s">
        <v>239</v>
      </c>
      <c r="C829" s="252" t="s">
        <v>1063</v>
      </c>
      <c r="D829" s="91" t="s">
        <v>348</v>
      </c>
      <c r="E829" s="320">
        <v>11</v>
      </c>
      <c r="F829" s="318">
        <f>5.4*1.2031</f>
        <v>6.4967400000000008</v>
      </c>
      <c r="G829" s="310">
        <f t="shared" si="44"/>
        <v>71.459999999999994</v>
      </c>
    </row>
    <row r="830" spans="1:7">
      <c r="A830" s="1"/>
      <c r="B830" s="235" t="s">
        <v>1310</v>
      </c>
      <c r="C830" s="252" t="s">
        <v>1064</v>
      </c>
      <c r="D830" s="91" t="s">
        <v>189</v>
      </c>
      <c r="E830" s="320">
        <v>1600</v>
      </c>
      <c r="F830" s="297">
        <f>VLOOKUP(B830,[1]Plan1!A$1:D$65536,4,FALSE)</f>
        <v>4.2</v>
      </c>
      <c r="G830" s="310">
        <f t="shared" si="44"/>
        <v>6720</v>
      </c>
    </row>
    <row r="831" spans="1:7">
      <c r="A831" s="1"/>
      <c r="B831" s="235" t="s">
        <v>1311</v>
      </c>
      <c r="C831" s="252" t="s">
        <v>1065</v>
      </c>
      <c r="D831" s="91" t="s">
        <v>189</v>
      </c>
      <c r="E831" s="320">
        <v>870</v>
      </c>
      <c r="F831" s="297">
        <f>VLOOKUP(B831,[1]Plan1!A$1:D$65536,4,FALSE)</f>
        <v>5.86</v>
      </c>
      <c r="G831" s="310">
        <f t="shared" si="44"/>
        <v>5098.2</v>
      </c>
    </row>
    <row r="832" spans="1:7">
      <c r="A832" s="1"/>
      <c r="B832" s="235" t="s">
        <v>1312</v>
      </c>
      <c r="C832" s="252" t="s">
        <v>1066</v>
      </c>
      <c r="D832" s="91" t="s">
        <v>189</v>
      </c>
      <c r="E832" s="320">
        <v>1400</v>
      </c>
      <c r="F832" s="297">
        <f>VLOOKUP(B832,[1]Plan1!A$1:D$65536,4,FALSE)</f>
        <v>9.61</v>
      </c>
      <c r="G832" s="310">
        <f t="shared" si="44"/>
        <v>13454</v>
      </c>
    </row>
    <row r="833" spans="1:7">
      <c r="A833" s="1"/>
      <c r="B833" s="235" t="s">
        <v>1313</v>
      </c>
      <c r="C833" s="252" t="s">
        <v>1067</v>
      </c>
      <c r="D833" s="91" t="s">
        <v>189</v>
      </c>
      <c r="E833" s="320">
        <v>200</v>
      </c>
      <c r="F833" s="297">
        <f>VLOOKUP(B833,[1]Plan1!A$1:D$65536,4,FALSE)</f>
        <v>23.35</v>
      </c>
      <c r="G833" s="310">
        <f t="shared" si="44"/>
        <v>4670</v>
      </c>
    </row>
    <row r="834" spans="1:7">
      <c r="A834" s="1"/>
      <c r="B834" s="235" t="s">
        <v>1314</v>
      </c>
      <c r="C834" s="252" t="s">
        <v>1068</v>
      </c>
      <c r="D834" s="91" t="s">
        <v>189</v>
      </c>
      <c r="E834" s="320">
        <v>1000</v>
      </c>
      <c r="F834" s="297">
        <f>VLOOKUP(B834,[1]Plan1!A$1:D$65536,4,FALSE)</f>
        <v>19.5</v>
      </c>
      <c r="G834" s="310">
        <f t="shared" si="44"/>
        <v>19500</v>
      </c>
    </row>
    <row r="835" spans="1:7" ht="69.75" customHeight="1">
      <c r="A835" s="1"/>
      <c r="B835" s="235"/>
      <c r="C835" s="277" t="s">
        <v>1069</v>
      </c>
      <c r="D835" s="1" t="s">
        <v>348</v>
      </c>
      <c r="E835" s="49">
        <v>2</v>
      </c>
      <c r="F835" s="312">
        <f>178*1.2031</f>
        <v>214.15180000000001</v>
      </c>
      <c r="G835" s="310">
        <f t="shared" si="44"/>
        <v>428.3</v>
      </c>
    </row>
    <row r="836" spans="1:7">
      <c r="A836" s="1"/>
      <c r="B836" s="235" t="s">
        <v>239</v>
      </c>
      <c r="C836" s="252" t="s">
        <v>1070</v>
      </c>
      <c r="D836" s="91" t="s">
        <v>189</v>
      </c>
      <c r="E836" s="320">
        <v>50</v>
      </c>
      <c r="F836" s="318">
        <f>3.81*1.2031</f>
        <v>4.5838109999999999</v>
      </c>
      <c r="G836" s="310">
        <f t="shared" si="44"/>
        <v>229.19</v>
      </c>
    </row>
    <row r="837" spans="1:7">
      <c r="A837" s="1"/>
      <c r="B837" s="235" t="s">
        <v>239</v>
      </c>
      <c r="C837" s="252" t="s">
        <v>1071</v>
      </c>
      <c r="D837" s="91" t="s">
        <v>189</v>
      </c>
      <c r="E837" s="320">
        <v>50</v>
      </c>
      <c r="F837" s="318">
        <f>1.09*1.2031</f>
        <v>1.3113790000000001</v>
      </c>
      <c r="G837" s="310">
        <f t="shared" si="44"/>
        <v>65.56</v>
      </c>
    </row>
    <row r="838" spans="1:7">
      <c r="A838" s="1"/>
      <c r="B838" s="235" t="s">
        <v>239</v>
      </c>
      <c r="C838" s="252" t="s">
        <v>1072</v>
      </c>
      <c r="D838" s="91" t="s">
        <v>348</v>
      </c>
      <c r="E838" s="320">
        <v>1</v>
      </c>
      <c r="F838" s="318">
        <f>5.91*1.2031</f>
        <v>7.1103210000000008</v>
      </c>
      <c r="G838" s="310">
        <f t="shared" si="44"/>
        <v>7.11</v>
      </c>
    </row>
    <row r="839" spans="1:7">
      <c r="A839" s="1"/>
      <c r="B839" s="235" t="s">
        <v>239</v>
      </c>
      <c r="C839" s="252" t="s">
        <v>1073</v>
      </c>
      <c r="D839" s="91" t="s">
        <v>348</v>
      </c>
      <c r="E839" s="320">
        <v>6</v>
      </c>
      <c r="F839" s="318">
        <f>3.36*1.2031</f>
        <v>4.0424160000000002</v>
      </c>
      <c r="G839" s="310">
        <f t="shared" si="44"/>
        <v>24.25</v>
      </c>
    </row>
    <row r="840" spans="1:7">
      <c r="A840" s="1"/>
      <c r="B840" s="235" t="s">
        <v>1315</v>
      </c>
      <c r="C840" s="252" t="s">
        <v>1074</v>
      </c>
      <c r="D840" s="91" t="s">
        <v>348</v>
      </c>
      <c r="E840" s="320">
        <v>5</v>
      </c>
      <c r="F840" s="297">
        <f>VLOOKUP(B840,[1]Plan1!A$1:D$65536,4,FALSE)</f>
        <v>285.62</v>
      </c>
      <c r="G840" s="310">
        <f t="shared" si="44"/>
        <v>1428.1</v>
      </c>
    </row>
    <row r="841" spans="1:7" ht="165.75" customHeight="1">
      <c r="A841" s="1"/>
      <c r="B841" s="235"/>
      <c r="C841" s="277" t="s">
        <v>482</v>
      </c>
      <c r="D841" s="1" t="s">
        <v>194</v>
      </c>
      <c r="E841" s="49">
        <v>16</v>
      </c>
      <c r="F841" s="312">
        <v>547.5</v>
      </c>
      <c r="G841" s="310">
        <f t="shared" si="44"/>
        <v>8760</v>
      </c>
    </row>
    <row r="842" spans="1:7" ht="22.5">
      <c r="A842" s="1"/>
      <c r="B842" s="235" t="s">
        <v>239</v>
      </c>
      <c r="C842" s="277" t="s">
        <v>483</v>
      </c>
      <c r="D842" s="1" t="s">
        <v>194</v>
      </c>
      <c r="E842" s="49">
        <v>4</v>
      </c>
      <c r="F842" s="312">
        <f>4600*1.2031</f>
        <v>5534.26</v>
      </c>
      <c r="G842" s="310">
        <f t="shared" si="44"/>
        <v>22137.040000000001</v>
      </c>
    </row>
    <row r="843" spans="1:7" ht="22.5">
      <c r="A843" s="1"/>
      <c r="B843" s="235" t="s">
        <v>239</v>
      </c>
      <c r="C843" s="277" t="s">
        <v>486</v>
      </c>
      <c r="D843" s="1" t="s">
        <v>194</v>
      </c>
      <c r="E843" s="49">
        <v>4</v>
      </c>
      <c r="F843" s="312">
        <f>1200*1.2031</f>
        <v>1443.72</v>
      </c>
      <c r="G843" s="310">
        <f t="shared" si="44"/>
        <v>5774.88</v>
      </c>
    </row>
    <row r="844" spans="1:7" ht="12.75" customHeight="1">
      <c r="A844" s="53"/>
      <c r="B844" s="235"/>
      <c r="C844" s="277"/>
      <c r="D844" s="1"/>
      <c r="E844" s="49"/>
      <c r="F844" s="312"/>
      <c r="G844" s="310"/>
    </row>
    <row r="845" spans="1:7" ht="12.75" customHeight="1">
      <c r="A845" s="53"/>
      <c r="B845" s="242"/>
      <c r="C845" s="263" t="s">
        <v>522</v>
      </c>
      <c r="D845" s="1"/>
      <c r="E845" s="49"/>
      <c r="F845" s="312"/>
      <c r="G845" s="310"/>
    </row>
    <row r="846" spans="1:7" ht="12.75" customHeight="1">
      <c r="A846" s="52"/>
      <c r="B846" s="242"/>
      <c r="C846" s="278" t="s">
        <v>1075</v>
      </c>
      <c r="D846" s="1"/>
      <c r="E846" s="49"/>
      <c r="F846" s="312"/>
      <c r="G846" s="310"/>
    </row>
    <row r="847" spans="1:7" ht="12.75" customHeight="1">
      <c r="A847" s="50"/>
      <c r="B847" s="242" t="s">
        <v>239</v>
      </c>
      <c r="C847" s="277" t="s">
        <v>1076</v>
      </c>
      <c r="D847" s="1" t="s">
        <v>348</v>
      </c>
      <c r="E847" s="49">
        <v>1</v>
      </c>
      <c r="F847" s="312">
        <f>187.07*1.2031</f>
        <v>225.063917</v>
      </c>
      <c r="G847" s="310">
        <f t="shared" si="44"/>
        <v>225.06</v>
      </c>
    </row>
    <row r="848" spans="1:7" ht="12.75" customHeight="1">
      <c r="A848" s="50"/>
      <c r="B848" s="242" t="s">
        <v>1303</v>
      </c>
      <c r="C848" s="277" t="s">
        <v>1077</v>
      </c>
      <c r="D848" s="1" t="s">
        <v>348</v>
      </c>
      <c r="E848" s="49">
        <v>2</v>
      </c>
      <c r="F848" s="297">
        <f>VLOOKUP(B848,[1]Plan1!A$1:D$65536,4,FALSE)</f>
        <v>14.85</v>
      </c>
      <c r="G848" s="310">
        <f t="shared" si="44"/>
        <v>29.7</v>
      </c>
    </row>
    <row r="849" spans="1:7" ht="12.75" customHeight="1">
      <c r="A849" s="50"/>
      <c r="B849" s="242" t="s">
        <v>1299</v>
      </c>
      <c r="C849" s="277" t="s">
        <v>1044</v>
      </c>
      <c r="D849" s="1" t="s">
        <v>348</v>
      </c>
      <c r="E849" s="49">
        <v>1</v>
      </c>
      <c r="F849" s="297">
        <f>VLOOKUP(B849,[1]Plan1!A$1:D$65536,4,FALSE)</f>
        <v>52.8</v>
      </c>
      <c r="G849" s="310">
        <f t="shared" si="44"/>
        <v>52.8</v>
      </c>
    </row>
    <row r="850" spans="1:7" ht="12.75" customHeight="1">
      <c r="A850" s="50"/>
      <c r="B850" s="242" t="s">
        <v>1304</v>
      </c>
      <c r="C850" s="277" t="s">
        <v>1079</v>
      </c>
      <c r="D850" s="1" t="s">
        <v>348</v>
      </c>
      <c r="E850" s="49">
        <v>1</v>
      </c>
      <c r="F850" s="297">
        <f>VLOOKUP(B850,[1]Plan1!A$1:D$65536,4,FALSE)</f>
        <v>52.8</v>
      </c>
      <c r="G850" s="310">
        <f>TRUNC(E850*F850,2)</f>
        <v>52.8</v>
      </c>
    </row>
    <row r="851" spans="1:7" ht="12.75" customHeight="1">
      <c r="A851" s="50"/>
      <c r="B851" s="242" t="s">
        <v>1304</v>
      </c>
      <c r="C851" s="277" t="s">
        <v>1078</v>
      </c>
      <c r="D851" s="1" t="s">
        <v>348</v>
      </c>
      <c r="E851" s="49">
        <v>4</v>
      </c>
      <c r="F851" s="297">
        <f>VLOOKUP(B851,[1]Plan1!A$1:D$65536,4,FALSE)</f>
        <v>52.8</v>
      </c>
      <c r="G851" s="310">
        <f t="shared" si="44"/>
        <v>211.2</v>
      </c>
    </row>
    <row r="852" spans="1:7" ht="12.75" customHeight="1">
      <c r="A852" s="50"/>
      <c r="B852" s="242" t="s">
        <v>1305</v>
      </c>
      <c r="C852" s="277" t="s">
        <v>1046</v>
      </c>
      <c r="D852" s="1" t="s">
        <v>348</v>
      </c>
      <c r="E852" s="49">
        <v>4</v>
      </c>
      <c r="F852" s="297">
        <f>VLOOKUP(B852,[1]Plan1!A$1:D$65536,4,FALSE)</f>
        <v>70.180000000000007</v>
      </c>
      <c r="G852" s="310">
        <f t="shared" si="44"/>
        <v>280.72000000000003</v>
      </c>
    </row>
    <row r="853" spans="1:7" ht="12.75" customHeight="1">
      <c r="A853" s="50"/>
      <c r="B853" s="242" t="s">
        <v>1306</v>
      </c>
      <c r="C853" s="277" t="s">
        <v>1080</v>
      </c>
      <c r="D853" s="1" t="s">
        <v>348</v>
      </c>
      <c r="E853" s="49">
        <v>2</v>
      </c>
      <c r="F853" s="297">
        <f>VLOOKUP(B853,[1]Plan1!A$1:D$65536,4,FALSE)</f>
        <v>70.180000000000007</v>
      </c>
      <c r="G853" s="310">
        <f t="shared" si="44"/>
        <v>140.36000000000001</v>
      </c>
    </row>
    <row r="854" spans="1:7" ht="12.75" customHeight="1">
      <c r="A854" s="50"/>
      <c r="B854" s="242" t="s">
        <v>1300</v>
      </c>
      <c r="C854" s="277" t="s">
        <v>1048</v>
      </c>
      <c r="D854" s="1" t="s">
        <v>348</v>
      </c>
      <c r="E854" s="49">
        <v>2</v>
      </c>
      <c r="F854" s="297">
        <f>VLOOKUP(B854,[1]Plan1!A$1:D$65536,4,FALSE)</f>
        <v>70.180000000000007</v>
      </c>
      <c r="G854" s="310">
        <f t="shared" si="44"/>
        <v>140.36000000000001</v>
      </c>
    </row>
    <row r="855" spans="1:7" ht="12.75" customHeight="1">
      <c r="A855" s="50"/>
      <c r="B855" s="242" t="s">
        <v>239</v>
      </c>
      <c r="C855" s="277" t="s">
        <v>1049</v>
      </c>
      <c r="D855" s="1" t="s">
        <v>348</v>
      </c>
      <c r="E855" s="49">
        <v>1</v>
      </c>
      <c r="F855" s="312">
        <f>107.497*1.2031</f>
        <v>129.3296407</v>
      </c>
      <c r="G855" s="310">
        <f t="shared" si="44"/>
        <v>129.32</v>
      </c>
    </row>
    <row r="856" spans="1:7" ht="12.75" customHeight="1">
      <c r="A856" s="50"/>
      <c r="B856" s="242" t="s">
        <v>239</v>
      </c>
      <c r="C856" s="277" t="s">
        <v>1030</v>
      </c>
      <c r="D856" s="1" t="s">
        <v>348</v>
      </c>
      <c r="E856" s="49">
        <v>1</v>
      </c>
      <c r="F856" s="312">
        <f>25.62*1.2031</f>
        <v>30.823422000000004</v>
      </c>
      <c r="G856" s="310">
        <f t="shared" si="44"/>
        <v>30.82</v>
      </c>
    </row>
    <row r="857" spans="1:7" ht="12.75" customHeight="1">
      <c r="A857" s="50"/>
      <c r="B857" s="242" t="s">
        <v>239</v>
      </c>
      <c r="C857" s="277" t="s">
        <v>1081</v>
      </c>
      <c r="D857" s="1" t="s">
        <v>348</v>
      </c>
      <c r="E857" s="49">
        <v>1</v>
      </c>
      <c r="F857" s="312">
        <f>18.2*1.2031</f>
        <v>21.896419999999999</v>
      </c>
      <c r="G857" s="310">
        <f t="shared" si="44"/>
        <v>21.89</v>
      </c>
    </row>
    <row r="858" spans="1:7" ht="33.75">
      <c r="A858" s="50"/>
      <c r="B858" s="242" t="s">
        <v>239</v>
      </c>
      <c r="C858" s="277" t="s">
        <v>349</v>
      </c>
      <c r="D858" s="1" t="s">
        <v>348</v>
      </c>
      <c r="E858" s="49">
        <v>3</v>
      </c>
      <c r="F858" s="312">
        <f>388.08*1.2031</f>
        <v>466.89904799999999</v>
      </c>
      <c r="G858" s="310">
        <f t="shared" si="44"/>
        <v>1400.69</v>
      </c>
    </row>
    <row r="859" spans="1:7">
      <c r="A859" s="50"/>
      <c r="B859" s="242" t="s">
        <v>239</v>
      </c>
      <c r="C859" s="277" t="s">
        <v>1082</v>
      </c>
      <c r="D859" s="1" t="s">
        <v>251</v>
      </c>
      <c r="E859" s="49">
        <v>22</v>
      </c>
      <c r="F859" s="312">
        <f>19.22*1.2031</f>
        <v>23.123581999999999</v>
      </c>
      <c r="G859" s="310">
        <f t="shared" si="44"/>
        <v>508.71</v>
      </c>
    </row>
    <row r="860" spans="1:7">
      <c r="A860" s="50"/>
      <c r="B860" s="242" t="s">
        <v>239</v>
      </c>
      <c r="C860" s="277" t="s">
        <v>1083</v>
      </c>
      <c r="D860" s="1" t="s">
        <v>251</v>
      </c>
      <c r="E860" s="49">
        <v>4</v>
      </c>
      <c r="F860" s="312">
        <f>115.94*1.2031</f>
        <v>139.487414</v>
      </c>
      <c r="G860" s="310">
        <f t="shared" si="44"/>
        <v>557.94000000000005</v>
      </c>
    </row>
    <row r="861" spans="1:7">
      <c r="A861" s="50"/>
      <c r="B861" s="242" t="s">
        <v>1309</v>
      </c>
      <c r="C861" s="277" t="s">
        <v>235</v>
      </c>
      <c r="D861" s="1" t="s">
        <v>348</v>
      </c>
      <c r="E861" s="49">
        <v>15</v>
      </c>
      <c r="F861" s="297">
        <f>VLOOKUP(B861,[1]Plan1!A$1:D$65536,4,FALSE)</f>
        <v>48.15</v>
      </c>
      <c r="G861" s="310">
        <f t="shared" si="44"/>
        <v>722.25</v>
      </c>
    </row>
    <row r="862" spans="1:7">
      <c r="A862" s="50"/>
      <c r="B862" s="242" t="s">
        <v>239</v>
      </c>
      <c r="C862" s="252" t="s">
        <v>1063</v>
      </c>
      <c r="D862" s="91" t="s">
        <v>348</v>
      </c>
      <c r="E862" s="320">
        <v>11</v>
      </c>
      <c r="F862" s="318">
        <f>5.4*1.2031</f>
        <v>6.4967400000000008</v>
      </c>
      <c r="G862" s="310">
        <f t="shared" si="44"/>
        <v>71.459999999999994</v>
      </c>
    </row>
    <row r="863" spans="1:7">
      <c r="A863" s="50"/>
      <c r="B863" s="242" t="s">
        <v>239</v>
      </c>
      <c r="C863" s="258" t="s">
        <v>1084</v>
      </c>
      <c r="D863" s="90" t="s">
        <v>1085</v>
      </c>
      <c r="E863" s="317">
        <v>2</v>
      </c>
      <c r="F863" s="312">
        <f>97.5*1.2031</f>
        <v>117.30225</v>
      </c>
      <c r="G863" s="310">
        <f t="shared" si="44"/>
        <v>234.6</v>
      </c>
    </row>
    <row r="864" spans="1:7">
      <c r="A864" s="50"/>
      <c r="B864" s="242" t="s">
        <v>239</v>
      </c>
      <c r="C864" s="258" t="s">
        <v>1086</v>
      </c>
      <c r="D864" s="1" t="s">
        <v>1085</v>
      </c>
      <c r="E864" s="49">
        <v>2</v>
      </c>
      <c r="F864" s="312">
        <f>33.91*1.2031</f>
        <v>40.797120999999997</v>
      </c>
      <c r="G864" s="310">
        <f t="shared" si="44"/>
        <v>81.59</v>
      </c>
    </row>
    <row r="865" spans="1:7">
      <c r="A865" s="50"/>
      <c r="B865" s="242" t="s">
        <v>1316</v>
      </c>
      <c r="C865" s="277" t="s">
        <v>1087</v>
      </c>
      <c r="D865" s="1" t="s">
        <v>251</v>
      </c>
      <c r="E865" s="49">
        <v>6</v>
      </c>
      <c r="F865" s="297">
        <f>VLOOKUP(B865,[1]Plan1!A$1:D$65536,4,FALSE)</f>
        <v>1.38</v>
      </c>
      <c r="G865" s="310">
        <f t="shared" si="44"/>
        <v>8.2799999999999994</v>
      </c>
    </row>
    <row r="866" spans="1:7" ht="22.5">
      <c r="A866" s="50"/>
      <c r="B866" s="242" t="s">
        <v>239</v>
      </c>
      <c r="C866" s="258" t="s">
        <v>479</v>
      </c>
      <c r="D866" s="90" t="s">
        <v>348</v>
      </c>
      <c r="E866" s="317">
        <v>470</v>
      </c>
      <c r="F866" s="317">
        <f>0.98*1.2031</f>
        <v>1.179038</v>
      </c>
      <c r="G866" s="310">
        <f t="shared" si="44"/>
        <v>554.14</v>
      </c>
    </row>
    <row r="867" spans="1:7" ht="12.75" customHeight="1">
      <c r="A867" s="50"/>
      <c r="B867" s="242" t="s">
        <v>239</v>
      </c>
      <c r="C867" s="258" t="s">
        <v>480</v>
      </c>
      <c r="D867" s="90" t="s">
        <v>348</v>
      </c>
      <c r="E867" s="317">
        <v>80</v>
      </c>
      <c r="F867" s="318">
        <f>1.88*1.2031</f>
        <v>2.2618279999999999</v>
      </c>
      <c r="G867" s="310">
        <f t="shared" si="44"/>
        <v>180.94</v>
      </c>
    </row>
    <row r="868" spans="1:7">
      <c r="A868" s="50"/>
      <c r="B868" s="242" t="s">
        <v>239</v>
      </c>
      <c r="C868" s="258" t="s">
        <v>1352</v>
      </c>
      <c r="D868" s="90" t="s">
        <v>189</v>
      </c>
      <c r="E868" s="317">
        <v>40</v>
      </c>
      <c r="F868" s="318">
        <f>2.63*1.2031</f>
        <v>3.1641530000000002</v>
      </c>
      <c r="G868" s="310">
        <f t="shared" si="44"/>
        <v>126.56</v>
      </c>
    </row>
    <row r="869" spans="1:7">
      <c r="A869" s="50"/>
      <c r="B869" s="235" t="s">
        <v>239</v>
      </c>
      <c r="C869" s="258" t="s">
        <v>563</v>
      </c>
      <c r="D869" s="90" t="s">
        <v>348</v>
      </c>
      <c r="E869" s="317">
        <v>600</v>
      </c>
      <c r="F869" s="318">
        <f>3.5*1.2031</f>
        <v>4.2108500000000006</v>
      </c>
      <c r="G869" s="310">
        <f t="shared" si="44"/>
        <v>2526.5100000000002</v>
      </c>
    </row>
    <row r="870" spans="1:7">
      <c r="A870" s="50"/>
      <c r="B870" s="242" t="s">
        <v>239</v>
      </c>
      <c r="C870" s="258" t="s">
        <v>1052</v>
      </c>
      <c r="D870" s="90" t="s">
        <v>348</v>
      </c>
      <c r="E870" s="317">
        <v>14</v>
      </c>
      <c r="F870" s="312">
        <f>4*1.2031</f>
        <v>4.8124000000000002</v>
      </c>
      <c r="G870" s="310">
        <f t="shared" si="44"/>
        <v>67.37</v>
      </c>
    </row>
    <row r="871" spans="1:7">
      <c r="A871" s="50"/>
      <c r="B871" s="242" t="s">
        <v>239</v>
      </c>
      <c r="C871" s="258" t="s">
        <v>1053</v>
      </c>
      <c r="D871" s="90" t="s">
        <v>348</v>
      </c>
      <c r="E871" s="317">
        <v>6</v>
      </c>
      <c r="F871" s="312">
        <f>1.5*1.2031</f>
        <v>1.8046500000000001</v>
      </c>
      <c r="G871" s="310">
        <f t="shared" si="44"/>
        <v>10.82</v>
      </c>
    </row>
    <row r="872" spans="1:7">
      <c r="A872" s="50"/>
      <c r="B872" s="242" t="s">
        <v>239</v>
      </c>
      <c r="C872" s="258" t="s">
        <v>559</v>
      </c>
      <c r="D872" s="90" t="s">
        <v>348</v>
      </c>
      <c r="E872" s="317">
        <v>6</v>
      </c>
      <c r="F872" s="312">
        <f>2.8*1.2031</f>
        <v>3.3686799999999999</v>
      </c>
      <c r="G872" s="310">
        <f t="shared" si="44"/>
        <v>20.21</v>
      </c>
    </row>
    <row r="873" spans="1:7">
      <c r="A873" s="50"/>
      <c r="B873" s="242" t="s">
        <v>239</v>
      </c>
      <c r="C873" s="258" t="s">
        <v>1055</v>
      </c>
      <c r="D873" s="90" t="s">
        <v>348</v>
      </c>
      <c r="E873" s="317">
        <v>2</v>
      </c>
      <c r="F873" s="318">
        <f>2.25*1.2031</f>
        <v>2.7069749999999999</v>
      </c>
      <c r="G873" s="310">
        <f t="shared" si="44"/>
        <v>5.41</v>
      </c>
    </row>
    <row r="874" spans="1:7">
      <c r="A874" s="50"/>
      <c r="B874" s="235" t="s">
        <v>239</v>
      </c>
      <c r="C874" s="258" t="s">
        <v>559</v>
      </c>
      <c r="D874" s="90" t="s">
        <v>348</v>
      </c>
      <c r="E874" s="317">
        <v>3</v>
      </c>
      <c r="F874" s="318">
        <f>2.25*1.2031</f>
        <v>2.7069749999999999</v>
      </c>
      <c r="G874" s="310">
        <f t="shared" si="44"/>
        <v>8.1199999999999992</v>
      </c>
    </row>
    <row r="875" spans="1:7">
      <c r="A875" s="50"/>
      <c r="B875" s="235" t="s">
        <v>239</v>
      </c>
      <c r="C875" s="258" t="s">
        <v>481</v>
      </c>
      <c r="D875" s="90" t="s">
        <v>348</v>
      </c>
      <c r="E875" s="319">
        <v>1</v>
      </c>
      <c r="F875" s="318">
        <f>2.25*1.2031</f>
        <v>2.7069749999999999</v>
      </c>
      <c r="G875" s="310">
        <f t="shared" si="44"/>
        <v>2.7</v>
      </c>
    </row>
    <row r="876" spans="1:7" ht="24.95" customHeight="1">
      <c r="A876" s="50"/>
      <c r="B876" s="235"/>
      <c r="C876" s="277" t="s">
        <v>1069</v>
      </c>
      <c r="D876" s="1" t="s">
        <v>348</v>
      </c>
      <c r="E876" s="49">
        <v>2</v>
      </c>
      <c r="F876" s="312">
        <f>178*1.2031</f>
        <v>214.15180000000001</v>
      </c>
      <c r="G876" s="310">
        <f t="shared" si="44"/>
        <v>428.3</v>
      </c>
    </row>
    <row r="877" spans="1:7">
      <c r="A877" s="50"/>
      <c r="B877" s="235" t="s">
        <v>239</v>
      </c>
      <c r="C877" s="258" t="s">
        <v>1058</v>
      </c>
      <c r="D877" s="90" t="s">
        <v>348</v>
      </c>
      <c r="E877" s="317">
        <v>1</v>
      </c>
      <c r="F877" s="318">
        <f>1.01*1.2031</f>
        <v>1.215131</v>
      </c>
      <c r="G877" s="310">
        <f t="shared" si="44"/>
        <v>1.21</v>
      </c>
    </row>
    <row r="878" spans="1:7">
      <c r="A878" s="50"/>
      <c r="B878" s="235" t="s">
        <v>1307</v>
      </c>
      <c r="C878" s="258" t="s">
        <v>1059</v>
      </c>
      <c r="D878" s="90" t="s">
        <v>348</v>
      </c>
      <c r="E878" s="317">
        <v>2</v>
      </c>
      <c r="F878" s="297">
        <f>VLOOKUP(B878,[1]Plan1!A$1:D$65536,4,FALSE)</f>
        <v>5.51</v>
      </c>
      <c r="G878" s="310">
        <f t="shared" si="44"/>
        <v>11.02</v>
      </c>
    </row>
    <row r="879" spans="1:7">
      <c r="A879" s="50"/>
      <c r="B879" s="235" t="s">
        <v>1308</v>
      </c>
      <c r="C879" s="258" t="s">
        <v>1060</v>
      </c>
      <c r="D879" s="90" t="s">
        <v>348</v>
      </c>
      <c r="E879" s="317">
        <v>1</v>
      </c>
      <c r="F879" s="297">
        <f>VLOOKUP(B879,[1]Plan1!A$1:D$65536,4,FALSE)</f>
        <v>12.2</v>
      </c>
      <c r="G879" s="310">
        <f t="shared" si="44"/>
        <v>12.2</v>
      </c>
    </row>
    <row r="880" spans="1:7">
      <c r="A880" s="225"/>
      <c r="B880" s="235" t="s">
        <v>239</v>
      </c>
      <c r="C880" s="258" t="s">
        <v>1061</v>
      </c>
      <c r="D880" s="90" t="s">
        <v>348</v>
      </c>
      <c r="E880" s="317">
        <v>1</v>
      </c>
      <c r="F880" s="318">
        <f>5.36*1.2031</f>
        <v>6.4486160000000003</v>
      </c>
      <c r="G880" s="310">
        <f t="shared" si="44"/>
        <v>6.44</v>
      </c>
    </row>
    <row r="881" spans="1:7">
      <c r="A881" s="225"/>
      <c r="B881" s="235" t="s">
        <v>239</v>
      </c>
      <c r="C881" s="258" t="s">
        <v>1062</v>
      </c>
      <c r="D881" s="90" t="s">
        <v>348</v>
      </c>
      <c r="E881" s="317">
        <v>2</v>
      </c>
      <c r="F881" s="318">
        <f>31.2*1.2031</f>
        <v>37.536720000000003</v>
      </c>
      <c r="G881" s="310">
        <f t="shared" si="44"/>
        <v>75.069999999999993</v>
      </c>
    </row>
    <row r="882" spans="1:7">
      <c r="A882" s="225"/>
      <c r="B882" s="235" t="s">
        <v>1310</v>
      </c>
      <c r="C882" s="252" t="s">
        <v>1064</v>
      </c>
      <c r="D882" s="91" t="s">
        <v>189</v>
      </c>
      <c r="E882" s="320">
        <v>3200</v>
      </c>
      <c r="F882" s="297">
        <f>VLOOKUP(B882,[1]Plan1!A$1:D$65536,4,FALSE)</f>
        <v>4.2</v>
      </c>
      <c r="G882" s="310">
        <f t="shared" si="44"/>
        <v>13440</v>
      </c>
    </row>
    <row r="883" spans="1:7">
      <c r="A883" s="225"/>
      <c r="B883" s="235" t="s">
        <v>1311</v>
      </c>
      <c r="C883" s="252" t="s">
        <v>1065</v>
      </c>
      <c r="D883" s="91" t="s">
        <v>189</v>
      </c>
      <c r="E883" s="320">
        <v>1400</v>
      </c>
      <c r="F883" s="297">
        <f>VLOOKUP(B883,[1]Plan1!A$1:D$65536,4,FALSE)</f>
        <v>5.86</v>
      </c>
      <c r="G883" s="310">
        <f t="shared" si="44"/>
        <v>8204</v>
      </c>
    </row>
    <row r="884" spans="1:7">
      <c r="A884" s="225"/>
      <c r="B884" s="235" t="s">
        <v>1312</v>
      </c>
      <c r="C884" s="252" t="s">
        <v>1088</v>
      </c>
      <c r="D884" s="91" t="s">
        <v>189</v>
      </c>
      <c r="E884" s="320">
        <v>1400</v>
      </c>
      <c r="F884" s="297">
        <f>VLOOKUP(B884,[1]Plan1!A$1:D$65536,4,FALSE)</f>
        <v>9.61</v>
      </c>
      <c r="G884" s="310">
        <f t="shared" si="44"/>
        <v>13454</v>
      </c>
    </row>
    <row r="885" spans="1:7" ht="12.75" customHeight="1">
      <c r="A885" s="225"/>
      <c r="B885" s="235" t="s">
        <v>1313</v>
      </c>
      <c r="C885" s="252" t="s">
        <v>1089</v>
      </c>
      <c r="D885" s="91" t="s">
        <v>189</v>
      </c>
      <c r="E885" s="320">
        <v>200</v>
      </c>
      <c r="F885" s="297">
        <f>VLOOKUP(B885,[1]Plan1!A$1:D$65536,4,FALSE)</f>
        <v>23.35</v>
      </c>
      <c r="G885" s="310">
        <f t="shared" si="44"/>
        <v>4670</v>
      </c>
    </row>
    <row r="886" spans="1:7" ht="11.25" customHeight="1">
      <c r="A886" s="225"/>
      <c r="B886" s="235" t="s">
        <v>1314</v>
      </c>
      <c r="C886" s="252" t="s">
        <v>1090</v>
      </c>
      <c r="D886" s="91" t="s">
        <v>189</v>
      </c>
      <c r="E886" s="320">
        <v>750</v>
      </c>
      <c r="F886" s="297">
        <f>VLOOKUP(B886,[1]Plan1!A$1:D$65536,4,FALSE)</f>
        <v>19.5</v>
      </c>
      <c r="G886" s="310">
        <f t="shared" si="44"/>
        <v>14625</v>
      </c>
    </row>
    <row r="887" spans="1:7">
      <c r="A887" s="225"/>
      <c r="B887" s="235" t="s">
        <v>1317</v>
      </c>
      <c r="C887" s="252" t="s">
        <v>1353</v>
      </c>
      <c r="D887" s="91" t="s">
        <v>251</v>
      </c>
      <c r="E887" s="320">
        <v>1</v>
      </c>
      <c r="F887" s="297">
        <f>VLOOKUP(B887,[1]Plan1!A$1:D$65536,4,FALSE)</f>
        <v>200.1</v>
      </c>
      <c r="G887" s="310">
        <f t="shared" si="44"/>
        <v>200.1</v>
      </c>
    </row>
    <row r="888" spans="1:7">
      <c r="A888" s="225"/>
      <c r="B888" s="235" t="s">
        <v>239</v>
      </c>
      <c r="C888" s="252" t="s">
        <v>1070</v>
      </c>
      <c r="D888" s="91" t="s">
        <v>189</v>
      </c>
      <c r="E888" s="320">
        <v>60</v>
      </c>
      <c r="F888" s="318">
        <f>3.81*1.2031</f>
        <v>4.5838109999999999</v>
      </c>
      <c r="G888" s="310">
        <f t="shared" si="44"/>
        <v>275.02</v>
      </c>
    </row>
    <row r="889" spans="1:7">
      <c r="A889" s="225"/>
      <c r="B889" s="235" t="s">
        <v>239</v>
      </c>
      <c r="C889" s="252" t="s">
        <v>1071</v>
      </c>
      <c r="D889" s="91" t="s">
        <v>189</v>
      </c>
      <c r="E889" s="320">
        <v>150</v>
      </c>
      <c r="F889" s="318">
        <f>1.09*1.2031</f>
        <v>1.3113790000000001</v>
      </c>
      <c r="G889" s="310">
        <f t="shared" si="44"/>
        <v>196.7</v>
      </c>
    </row>
    <row r="890" spans="1:7">
      <c r="A890" s="225"/>
      <c r="B890" s="235" t="s">
        <v>239</v>
      </c>
      <c r="C890" s="252" t="s">
        <v>1072</v>
      </c>
      <c r="D890" s="91" t="s">
        <v>348</v>
      </c>
      <c r="E890" s="320">
        <v>1</v>
      </c>
      <c r="F890" s="318">
        <f>5.91*1.2031</f>
        <v>7.1103210000000008</v>
      </c>
      <c r="G890" s="310">
        <f t="shared" si="44"/>
        <v>7.11</v>
      </c>
    </row>
    <row r="891" spans="1:7">
      <c r="A891" s="225"/>
      <c r="B891" s="235" t="s">
        <v>239</v>
      </c>
      <c r="C891" s="252" t="s">
        <v>1073</v>
      </c>
      <c r="D891" s="91" t="s">
        <v>348</v>
      </c>
      <c r="E891" s="320">
        <v>6</v>
      </c>
      <c r="F891" s="318">
        <f>3.36*1.2031</f>
        <v>4.0424160000000002</v>
      </c>
      <c r="G891" s="310">
        <f t="shared" si="44"/>
        <v>24.25</v>
      </c>
    </row>
    <row r="892" spans="1:7">
      <c r="A892" s="225"/>
      <c r="B892" s="235" t="s">
        <v>1315</v>
      </c>
      <c r="C892" s="252" t="s">
        <v>1074</v>
      </c>
      <c r="D892" s="91" t="s">
        <v>348</v>
      </c>
      <c r="E892" s="320">
        <v>6</v>
      </c>
      <c r="F892" s="297">
        <f>VLOOKUP(B892,[1]Plan1!A$1:D$65536,4,FALSE)</f>
        <v>285.62</v>
      </c>
      <c r="G892" s="310">
        <f t="shared" ref="G892:G911" si="45">TRUNC(E892*F892,2)</f>
        <v>1713.72</v>
      </c>
    </row>
    <row r="893" spans="1:7" ht="254.1" customHeight="1">
      <c r="A893" s="225"/>
      <c r="B893" s="243" t="s">
        <v>631</v>
      </c>
      <c r="C893" s="258" t="s">
        <v>350</v>
      </c>
      <c r="D893" s="90" t="s">
        <v>252</v>
      </c>
      <c r="E893" s="317">
        <v>24</v>
      </c>
      <c r="F893" s="312">
        <v>305.58</v>
      </c>
      <c r="G893" s="310">
        <f t="shared" si="45"/>
        <v>7333.92</v>
      </c>
    </row>
    <row r="894" spans="1:7" ht="254.1" customHeight="1">
      <c r="A894" s="225"/>
      <c r="B894" s="243" t="s">
        <v>631</v>
      </c>
      <c r="C894" s="277" t="s">
        <v>482</v>
      </c>
      <c r="D894" s="1" t="s">
        <v>194</v>
      </c>
      <c r="E894" s="49">
        <v>16</v>
      </c>
      <c r="F894" s="312">
        <v>547.5</v>
      </c>
      <c r="G894" s="310">
        <f t="shared" si="45"/>
        <v>8760</v>
      </c>
    </row>
    <row r="895" spans="1:7" ht="12.75" customHeight="1">
      <c r="A895" s="225"/>
      <c r="B895" s="243" t="s">
        <v>239</v>
      </c>
      <c r="C895" s="277" t="s">
        <v>483</v>
      </c>
      <c r="D895" s="1" t="s">
        <v>194</v>
      </c>
      <c r="E895" s="49">
        <v>4</v>
      </c>
      <c r="F895" s="312">
        <f>4600*1.2031</f>
        <v>5534.26</v>
      </c>
      <c r="G895" s="310">
        <f t="shared" si="45"/>
        <v>22137.040000000001</v>
      </c>
    </row>
    <row r="896" spans="1:7" ht="24.95" customHeight="1">
      <c r="A896" s="225"/>
      <c r="B896" s="243" t="s">
        <v>239</v>
      </c>
      <c r="C896" s="277" t="s">
        <v>486</v>
      </c>
      <c r="D896" s="1" t="s">
        <v>194</v>
      </c>
      <c r="E896" s="49">
        <v>4</v>
      </c>
      <c r="F896" s="312">
        <f>1200*1.2031</f>
        <v>1443.72</v>
      </c>
      <c r="G896" s="310">
        <f t="shared" si="45"/>
        <v>5774.88</v>
      </c>
    </row>
    <row r="897" spans="1:7" ht="12.75" customHeight="1">
      <c r="A897" s="225"/>
      <c r="B897" s="242"/>
      <c r="C897" s="263"/>
      <c r="D897" s="9"/>
      <c r="E897" s="49"/>
      <c r="F897" s="312"/>
      <c r="G897" s="310">
        <f t="shared" si="45"/>
        <v>0</v>
      </c>
    </row>
    <row r="898" spans="1:7" ht="11.25" customHeight="1">
      <c r="A898" s="225"/>
      <c r="B898" s="242"/>
      <c r="C898" s="263" t="s">
        <v>501</v>
      </c>
      <c r="D898" s="9"/>
      <c r="E898" s="49"/>
      <c r="F898" s="312"/>
      <c r="G898" s="310">
        <f t="shared" si="45"/>
        <v>0</v>
      </c>
    </row>
    <row r="899" spans="1:7">
      <c r="A899" s="225"/>
      <c r="B899" s="242"/>
      <c r="C899" s="277" t="s">
        <v>1322</v>
      </c>
      <c r="D899" s="1" t="s">
        <v>189</v>
      </c>
      <c r="E899" s="49">
        <v>5700</v>
      </c>
      <c r="F899" s="312">
        <v>1.8</v>
      </c>
      <c r="G899" s="310">
        <f t="shared" si="45"/>
        <v>10260</v>
      </c>
    </row>
    <row r="900" spans="1:7">
      <c r="A900" s="225"/>
      <c r="B900" s="242"/>
      <c r="C900" s="277" t="s">
        <v>1323</v>
      </c>
      <c r="D900" s="1" t="s">
        <v>189</v>
      </c>
      <c r="E900" s="49">
        <v>4400</v>
      </c>
      <c r="F900" s="312">
        <v>10.63</v>
      </c>
      <c r="G900" s="310">
        <f t="shared" si="45"/>
        <v>46772</v>
      </c>
    </row>
    <row r="901" spans="1:7" ht="224.25" customHeight="1">
      <c r="A901" s="225"/>
      <c r="B901" s="242"/>
      <c r="C901" s="277" t="s">
        <v>482</v>
      </c>
      <c r="D901" s="1" t="s">
        <v>194</v>
      </c>
      <c r="E901" s="49">
        <v>153</v>
      </c>
      <c r="F901" s="312">
        <v>547.5</v>
      </c>
      <c r="G901" s="310">
        <f t="shared" si="45"/>
        <v>83767.5</v>
      </c>
    </row>
    <row r="902" spans="1:7">
      <c r="A902" s="225"/>
      <c r="B902" s="242" t="s">
        <v>239</v>
      </c>
      <c r="C902" s="277" t="s">
        <v>1091</v>
      </c>
      <c r="D902" s="1" t="s">
        <v>194</v>
      </c>
      <c r="E902" s="49">
        <v>10</v>
      </c>
      <c r="F902" s="312">
        <f>19.22*1.2031</f>
        <v>23.123581999999999</v>
      </c>
      <c r="G902" s="310">
        <f t="shared" si="45"/>
        <v>231.23</v>
      </c>
    </row>
    <row r="903" spans="1:7">
      <c r="A903" s="225"/>
      <c r="B903" s="242" t="s">
        <v>239</v>
      </c>
      <c r="C903" s="277" t="s">
        <v>1023</v>
      </c>
      <c r="D903" s="1" t="s">
        <v>189</v>
      </c>
      <c r="E903" s="49">
        <v>360</v>
      </c>
      <c r="F903" s="312">
        <f>1.88*1.2031</f>
        <v>2.2618279999999999</v>
      </c>
      <c r="G903" s="310">
        <f t="shared" si="45"/>
        <v>814.25</v>
      </c>
    </row>
    <row r="904" spans="1:7">
      <c r="A904" s="225"/>
      <c r="B904" s="242" t="s">
        <v>239</v>
      </c>
      <c r="C904" s="277" t="s">
        <v>487</v>
      </c>
      <c r="D904" s="1" t="s">
        <v>348</v>
      </c>
      <c r="E904" s="49">
        <v>30</v>
      </c>
      <c r="F904" s="49">
        <f>7.8*1.2031</f>
        <v>9.3841800000000006</v>
      </c>
      <c r="G904" s="310">
        <f t="shared" si="45"/>
        <v>281.52</v>
      </c>
    </row>
    <row r="905" spans="1:7" ht="12.75" customHeight="1">
      <c r="A905" s="225"/>
      <c r="B905" s="242" t="s">
        <v>239</v>
      </c>
      <c r="C905" s="277" t="s">
        <v>1092</v>
      </c>
      <c r="D905" s="1" t="s">
        <v>194</v>
      </c>
      <c r="E905" s="49">
        <v>14</v>
      </c>
      <c r="F905" s="49">
        <f>350*1.2031</f>
        <v>421.08500000000004</v>
      </c>
      <c r="G905" s="310">
        <f t="shared" si="45"/>
        <v>5895.19</v>
      </c>
    </row>
    <row r="906" spans="1:7" ht="12.75" customHeight="1">
      <c r="A906" s="225"/>
      <c r="B906" s="242" t="s">
        <v>239</v>
      </c>
      <c r="C906" s="277" t="s">
        <v>483</v>
      </c>
      <c r="D906" s="1" t="s">
        <v>194</v>
      </c>
      <c r="E906" s="49">
        <v>88</v>
      </c>
      <c r="F906" s="312">
        <f>4600*1.2031</f>
        <v>5534.26</v>
      </c>
      <c r="G906" s="310">
        <f t="shared" si="45"/>
        <v>487014.88</v>
      </c>
    </row>
    <row r="907" spans="1:7" ht="12.75" customHeight="1">
      <c r="A907" s="225"/>
      <c r="B907" s="242" t="s">
        <v>239</v>
      </c>
      <c r="C907" s="277" t="s">
        <v>484</v>
      </c>
      <c r="D907" s="1" t="s">
        <v>194</v>
      </c>
      <c r="E907" s="49">
        <v>23</v>
      </c>
      <c r="F907" s="312">
        <f>335*1.2031</f>
        <v>403.0385</v>
      </c>
      <c r="G907" s="310">
        <f t="shared" si="45"/>
        <v>9269.8799999999992</v>
      </c>
    </row>
    <row r="908" spans="1:7" ht="12.75" customHeight="1">
      <c r="A908" s="225"/>
      <c r="B908" s="242" t="s">
        <v>239</v>
      </c>
      <c r="C908" s="277" t="s">
        <v>485</v>
      </c>
      <c r="D908" s="1" t="s">
        <v>194</v>
      </c>
      <c r="E908" s="49">
        <v>65</v>
      </c>
      <c r="F908" s="312">
        <f>670*1.2031</f>
        <v>806.077</v>
      </c>
      <c r="G908" s="310">
        <f t="shared" si="45"/>
        <v>52395</v>
      </c>
    </row>
    <row r="909" spans="1:7" ht="12.75" customHeight="1">
      <c r="A909" s="225"/>
      <c r="B909" s="242" t="s">
        <v>239</v>
      </c>
      <c r="C909" s="277" t="s">
        <v>1324</v>
      </c>
      <c r="D909" s="1" t="s">
        <v>194</v>
      </c>
      <c r="E909" s="49">
        <v>88</v>
      </c>
      <c r="F909" s="312">
        <f>7.8*1.2031</f>
        <v>9.3841800000000006</v>
      </c>
      <c r="G909" s="310">
        <f t="shared" si="45"/>
        <v>825.8</v>
      </c>
    </row>
    <row r="910" spans="1:7">
      <c r="A910" s="225"/>
      <c r="B910" s="242" t="s">
        <v>239</v>
      </c>
      <c r="C910" s="277" t="s">
        <v>1354</v>
      </c>
      <c r="D910" s="1" t="s">
        <v>478</v>
      </c>
      <c r="E910" s="49">
        <v>34</v>
      </c>
      <c r="F910" s="312">
        <f>70.56*1.2031</f>
        <v>84.890736000000004</v>
      </c>
      <c r="G910" s="310">
        <f t="shared" si="45"/>
        <v>2886.28</v>
      </c>
    </row>
    <row r="911" spans="1:7" ht="12.75" customHeight="1">
      <c r="A911" s="225"/>
      <c r="B911" s="242" t="s">
        <v>491</v>
      </c>
      <c r="C911" s="277" t="s">
        <v>499</v>
      </c>
      <c r="D911" s="1" t="s">
        <v>251</v>
      </c>
      <c r="E911" s="49">
        <v>23</v>
      </c>
      <c r="F911" s="208">
        <f>VLOOKUP(B911,'ilum publ'!A:AR,41,FALSE)</f>
        <v>675.42</v>
      </c>
      <c r="G911" s="310">
        <f t="shared" si="45"/>
        <v>15534.66</v>
      </c>
    </row>
    <row r="912" spans="1:7" ht="11.25" customHeight="1">
      <c r="A912" s="225"/>
      <c r="B912" s="235"/>
      <c r="C912" s="277"/>
      <c r="D912" s="1"/>
      <c r="E912" s="49"/>
      <c r="F912" s="312"/>
      <c r="G912" s="310"/>
    </row>
    <row r="913" spans="1:7">
      <c r="A913" s="225" t="s">
        <v>155</v>
      </c>
      <c r="B913" s="235"/>
      <c r="C913" s="256" t="s">
        <v>148</v>
      </c>
      <c r="D913" s="1"/>
      <c r="E913" s="208"/>
      <c r="F913" s="296"/>
      <c r="G913" s="296">
        <f>SUM(G763:G912)</f>
        <v>1091660.7300000002</v>
      </c>
    </row>
    <row r="914" spans="1:7" ht="12.75" customHeight="1">
      <c r="A914" s="225"/>
      <c r="B914" s="235"/>
      <c r="C914" s="256"/>
      <c r="D914" s="1"/>
      <c r="E914" s="208"/>
      <c r="F914" s="296"/>
      <c r="G914" s="296"/>
    </row>
    <row r="915" spans="1:7">
      <c r="A915" s="225">
        <v>9</v>
      </c>
      <c r="B915" s="233">
        <v>9</v>
      </c>
      <c r="C915" s="254" t="s">
        <v>41</v>
      </c>
      <c r="D915" s="170"/>
      <c r="E915" s="178"/>
      <c r="F915" s="178"/>
      <c r="G915" s="178"/>
    </row>
    <row r="916" spans="1:7" ht="12.75" customHeight="1">
      <c r="A916" s="225"/>
      <c r="B916" s="235"/>
      <c r="C916" s="276" t="s">
        <v>240</v>
      </c>
      <c r="D916" s="1"/>
      <c r="E916" s="208"/>
      <c r="F916" s="209"/>
      <c r="G916" s="297"/>
    </row>
    <row r="917" spans="1:7">
      <c r="A917" s="225"/>
      <c r="B917" s="235"/>
      <c r="C917" s="253" t="s">
        <v>531</v>
      </c>
      <c r="D917" s="1" t="s">
        <v>194</v>
      </c>
      <c r="E917" s="208">
        <v>2</v>
      </c>
      <c r="F917" s="209">
        <v>9950</v>
      </c>
      <c r="G917" s="297">
        <f t="shared" ref="G917:G948" si="46">TRUNC(E917*F917,2)</f>
        <v>19900</v>
      </c>
    </row>
    <row r="918" spans="1:7" ht="12.75" customHeight="1">
      <c r="A918" s="225"/>
      <c r="B918" s="235"/>
      <c r="C918" s="253" t="s">
        <v>241</v>
      </c>
      <c r="D918" s="1" t="s">
        <v>194</v>
      </c>
      <c r="E918" s="208">
        <v>4</v>
      </c>
      <c r="F918" s="209">
        <v>1920</v>
      </c>
      <c r="G918" s="297">
        <f t="shared" si="46"/>
        <v>7680</v>
      </c>
    </row>
    <row r="919" spans="1:7" ht="12.75" customHeight="1">
      <c r="A919" s="225"/>
      <c r="B919" s="235"/>
      <c r="C919" s="253"/>
      <c r="D919" s="1"/>
      <c r="E919" s="208"/>
      <c r="F919" s="209"/>
      <c r="G919" s="315"/>
    </row>
    <row r="920" spans="1:7" ht="12.75" customHeight="1">
      <c r="A920" s="52"/>
      <c r="B920" s="235"/>
      <c r="C920" s="276" t="s">
        <v>288</v>
      </c>
      <c r="D920" s="1"/>
      <c r="E920" s="208"/>
      <c r="F920" s="209"/>
      <c r="G920" s="297"/>
    </row>
    <row r="921" spans="1:7" ht="12.75" customHeight="1">
      <c r="A921" s="50"/>
      <c r="B921" s="235"/>
      <c r="C921" s="253" t="s">
        <v>289</v>
      </c>
      <c r="D921" s="1" t="s">
        <v>194</v>
      </c>
      <c r="E921" s="208">
        <v>2</v>
      </c>
      <c r="F921" s="209">
        <v>510</v>
      </c>
      <c r="G921" s="297">
        <f t="shared" si="46"/>
        <v>1020</v>
      </c>
    </row>
    <row r="922" spans="1:7" ht="12.75" customHeight="1">
      <c r="A922" s="50"/>
      <c r="B922" s="235"/>
      <c r="C922" s="253" t="s">
        <v>290</v>
      </c>
      <c r="D922" s="1" t="s">
        <v>194</v>
      </c>
      <c r="E922" s="208">
        <v>28</v>
      </c>
      <c r="F922" s="209">
        <v>1080</v>
      </c>
      <c r="G922" s="297">
        <f t="shared" si="46"/>
        <v>30240</v>
      </c>
    </row>
    <row r="923" spans="1:7" ht="12.75" customHeight="1">
      <c r="A923" s="50"/>
      <c r="B923" s="235"/>
      <c r="C923" s="253" t="s">
        <v>291</v>
      </c>
      <c r="D923" s="1" t="s">
        <v>194</v>
      </c>
      <c r="E923" s="208">
        <v>9</v>
      </c>
      <c r="F923" s="209">
        <v>615</v>
      </c>
      <c r="G923" s="297">
        <f t="shared" si="46"/>
        <v>5535</v>
      </c>
    </row>
    <row r="924" spans="1:7">
      <c r="A924" s="50"/>
      <c r="B924" s="235"/>
      <c r="C924" s="253" t="s">
        <v>292</v>
      </c>
      <c r="D924" s="1" t="s">
        <v>194</v>
      </c>
      <c r="E924" s="208">
        <v>4</v>
      </c>
      <c r="F924" s="209">
        <v>650</v>
      </c>
      <c r="G924" s="297">
        <f t="shared" si="46"/>
        <v>2600</v>
      </c>
    </row>
    <row r="925" spans="1:7">
      <c r="A925" s="50"/>
      <c r="B925" s="235"/>
      <c r="C925" s="253" t="s">
        <v>293</v>
      </c>
      <c r="D925" s="1" t="s">
        <v>194</v>
      </c>
      <c r="E925" s="208">
        <v>24</v>
      </c>
      <c r="F925" s="209">
        <v>520</v>
      </c>
      <c r="G925" s="297">
        <f t="shared" si="46"/>
        <v>12480</v>
      </c>
    </row>
    <row r="926" spans="1:7">
      <c r="A926" s="50"/>
      <c r="B926" s="235"/>
      <c r="C926" s="253"/>
      <c r="D926" s="1"/>
      <c r="E926" s="208"/>
      <c r="F926" s="209"/>
      <c r="G926" s="315"/>
    </row>
    <row r="927" spans="1:7">
      <c r="A927" s="50"/>
      <c r="B927" s="235"/>
      <c r="C927" s="276" t="s">
        <v>294</v>
      </c>
      <c r="D927" s="1"/>
      <c r="E927" s="208"/>
      <c r="F927" s="209"/>
      <c r="G927" s="297"/>
    </row>
    <row r="928" spans="1:7">
      <c r="A928" s="50"/>
      <c r="B928" s="235"/>
      <c r="C928" s="253" t="s">
        <v>295</v>
      </c>
      <c r="D928" s="1" t="s">
        <v>194</v>
      </c>
      <c r="E928" s="208">
        <v>28</v>
      </c>
      <c r="F928" s="209">
        <v>1950</v>
      </c>
      <c r="G928" s="297">
        <f t="shared" si="46"/>
        <v>54600</v>
      </c>
    </row>
    <row r="929" spans="1:7">
      <c r="A929" s="50"/>
      <c r="B929" s="235"/>
      <c r="C929" s="253" t="s">
        <v>296</v>
      </c>
      <c r="D929" s="1" t="s">
        <v>194</v>
      </c>
      <c r="E929" s="208">
        <v>28</v>
      </c>
      <c r="F929" s="209">
        <v>1750</v>
      </c>
      <c r="G929" s="297">
        <f t="shared" si="46"/>
        <v>49000</v>
      </c>
    </row>
    <row r="930" spans="1:7">
      <c r="A930" s="50"/>
      <c r="B930" s="235"/>
      <c r="C930" s="253" t="s">
        <v>297</v>
      </c>
      <c r="D930" s="1" t="s">
        <v>194</v>
      </c>
      <c r="E930" s="208">
        <v>26</v>
      </c>
      <c r="F930" s="209">
        <v>1250</v>
      </c>
      <c r="G930" s="297">
        <f t="shared" si="46"/>
        <v>32500</v>
      </c>
    </row>
    <row r="931" spans="1:7">
      <c r="A931" s="50"/>
      <c r="B931" s="235"/>
      <c r="C931" s="253"/>
      <c r="D931" s="1"/>
      <c r="E931" s="208"/>
      <c r="F931" s="209"/>
      <c r="G931" s="315"/>
    </row>
    <row r="932" spans="1:7">
      <c r="A932" s="225"/>
      <c r="B932" s="235"/>
      <c r="C932" s="276" t="s">
        <v>298</v>
      </c>
      <c r="D932" s="1"/>
      <c r="E932" s="208"/>
      <c r="F932" s="209"/>
      <c r="G932" s="297"/>
    </row>
    <row r="933" spans="1:7">
      <c r="A933" s="225"/>
      <c r="B933" s="235"/>
      <c r="C933" s="253" t="s">
        <v>299</v>
      </c>
      <c r="D933" s="1" t="s">
        <v>194</v>
      </c>
      <c r="E933" s="208">
        <v>28</v>
      </c>
      <c r="F933" s="209">
        <v>550</v>
      </c>
      <c r="G933" s="297">
        <f t="shared" si="46"/>
        <v>15400</v>
      </c>
    </row>
    <row r="934" spans="1:7">
      <c r="A934" s="225"/>
      <c r="B934" s="235"/>
      <c r="C934" s="253" t="s">
        <v>300</v>
      </c>
      <c r="D934" s="1" t="s">
        <v>194</v>
      </c>
      <c r="E934" s="208">
        <v>28</v>
      </c>
      <c r="F934" s="209">
        <v>550</v>
      </c>
      <c r="G934" s="297">
        <f t="shared" si="46"/>
        <v>15400</v>
      </c>
    </row>
    <row r="935" spans="1:7">
      <c r="A935" s="225"/>
      <c r="B935" s="235"/>
      <c r="C935" s="253" t="s">
        <v>301</v>
      </c>
      <c r="D935" s="1" t="s">
        <v>194</v>
      </c>
      <c r="E935" s="208">
        <v>28</v>
      </c>
      <c r="F935" s="209">
        <v>550</v>
      </c>
      <c r="G935" s="297">
        <f t="shared" si="46"/>
        <v>15400</v>
      </c>
    </row>
    <row r="936" spans="1:7">
      <c r="A936" s="225"/>
      <c r="B936" s="235"/>
      <c r="C936" s="253"/>
      <c r="D936" s="1"/>
      <c r="E936" s="208"/>
      <c r="F936" s="209"/>
      <c r="G936" s="315"/>
    </row>
    <row r="937" spans="1:7">
      <c r="A937" s="225"/>
      <c r="B937" s="235"/>
      <c r="C937" s="276" t="s">
        <v>302</v>
      </c>
      <c r="D937" s="1"/>
      <c r="E937" s="208"/>
      <c r="F937" s="209"/>
      <c r="G937" s="297"/>
    </row>
    <row r="938" spans="1:7" ht="22.5">
      <c r="A938" s="225"/>
      <c r="B938" s="235"/>
      <c r="C938" s="253" t="s">
        <v>1325</v>
      </c>
      <c r="D938" s="1" t="s">
        <v>189</v>
      </c>
      <c r="E938" s="208">
        <v>385</v>
      </c>
      <c r="F938" s="209">
        <v>2.1</v>
      </c>
      <c r="G938" s="297">
        <f t="shared" si="46"/>
        <v>808.5</v>
      </c>
    </row>
    <row r="939" spans="1:7" ht="11.25" customHeight="1">
      <c r="A939" s="225"/>
      <c r="B939" s="235"/>
      <c r="C939" s="253" t="s">
        <v>1326</v>
      </c>
      <c r="D939" s="1" t="s">
        <v>189</v>
      </c>
      <c r="E939" s="208">
        <v>100</v>
      </c>
      <c r="F939" s="209">
        <v>5.2</v>
      </c>
      <c r="G939" s="297">
        <f t="shared" si="46"/>
        <v>520</v>
      </c>
    </row>
    <row r="940" spans="1:7" ht="12.75" customHeight="1">
      <c r="A940" s="51"/>
      <c r="B940" s="235"/>
      <c r="C940" s="253" t="s">
        <v>1327</v>
      </c>
      <c r="D940" s="1" t="s">
        <v>189</v>
      </c>
      <c r="E940" s="208">
        <v>1050</v>
      </c>
      <c r="F940" s="209">
        <v>3.25</v>
      </c>
      <c r="G940" s="297">
        <f t="shared" si="46"/>
        <v>3412.5</v>
      </c>
    </row>
    <row r="941" spans="1:7">
      <c r="A941" s="50"/>
      <c r="B941" s="235"/>
      <c r="C941" s="253" t="s">
        <v>1328</v>
      </c>
      <c r="D941" s="1" t="s">
        <v>189</v>
      </c>
      <c r="E941" s="208">
        <v>1320</v>
      </c>
      <c r="F941" s="209">
        <v>3.75</v>
      </c>
      <c r="G941" s="297">
        <f t="shared" si="46"/>
        <v>4950</v>
      </c>
    </row>
    <row r="942" spans="1:7" ht="11.45" customHeight="1">
      <c r="A942" s="50"/>
      <c r="B942" s="235"/>
      <c r="C942" s="253" t="s">
        <v>303</v>
      </c>
      <c r="D942" s="1" t="s">
        <v>189</v>
      </c>
      <c r="E942" s="208">
        <v>150</v>
      </c>
      <c r="F942" s="209">
        <v>2.9</v>
      </c>
      <c r="G942" s="297">
        <f t="shared" si="46"/>
        <v>435</v>
      </c>
    </row>
    <row r="943" spans="1:7">
      <c r="A943" s="50"/>
      <c r="B943" s="235"/>
      <c r="C943" s="253"/>
      <c r="D943" s="1"/>
      <c r="E943" s="208"/>
      <c r="F943" s="209"/>
      <c r="G943" s="315"/>
    </row>
    <row r="944" spans="1:7" ht="12.75" customHeight="1">
      <c r="A944" s="50"/>
      <c r="B944" s="235"/>
      <c r="C944" s="276" t="s">
        <v>304</v>
      </c>
      <c r="D944" s="1"/>
      <c r="E944" s="208"/>
      <c r="F944" s="209"/>
      <c r="G944" s="297"/>
    </row>
    <row r="945" spans="1:7" ht="24.95" customHeight="1">
      <c r="A945" s="50"/>
      <c r="B945" s="235"/>
      <c r="C945" s="253" t="s">
        <v>532</v>
      </c>
      <c r="D945" s="1" t="s">
        <v>189</v>
      </c>
      <c r="E945" s="208">
        <v>270</v>
      </c>
      <c r="F945" s="209">
        <v>140</v>
      </c>
      <c r="G945" s="297">
        <f t="shared" si="46"/>
        <v>37800</v>
      </c>
    </row>
    <row r="946" spans="1:7" ht="12.75" customHeight="1">
      <c r="A946" s="50"/>
      <c r="B946" s="235"/>
      <c r="C946" s="253" t="s">
        <v>533</v>
      </c>
      <c r="D946" s="1" t="s">
        <v>189</v>
      </c>
      <c r="E946" s="208">
        <v>180</v>
      </c>
      <c r="F946" s="209">
        <v>95</v>
      </c>
      <c r="G946" s="297">
        <f t="shared" si="46"/>
        <v>17100</v>
      </c>
    </row>
    <row r="947" spans="1:7" ht="24.95" customHeight="1">
      <c r="A947" s="50"/>
      <c r="B947" s="235"/>
      <c r="C947" s="253" t="s">
        <v>305</v>
      </c>
      <c r="D947" s="1" t="s">
        <v>189</v>
      </c>
      <c r="E947" s="208">
        <v>295</v>
      </c>
      <c r="F947" s="209">
        <v>90</v>
      </c>
      <c r="G947" s="297">
        <f t="shared" si="46"/>
        <v>26550</v>
      </c>
    </row>
    <row r="948" spans="1:7" ht="12.75" customHeight="1">
      <c r="A948" s="50"/>
      <c r="B948" s="235"/>
      <c r="C948" s="253" t="s">
        <v>306</v>
      </c>
      <c r="D948" s="1" t="s">
        <v>194</v>
      </c>
      <c r="E948" s="208">
        <v>52</v>
      </c>
      <c r="F948" s="209">
        <v>120</v>
      </c>
      <c r="G948" s="297">
        <f t="shared" si="46"/>
        <v>6240</v>
      </c>
    </row>
    <row r="949" spans="1:7" ht="12.75" customHeight="1">
      <c r="A949" s="225" t="s">
        <v>154</v>
      </c>
      <c r="B949" s="235"/>
      <c r="C949" s="256" t="s">
        <v>149</v>
      </c>
      <c r="D949" s="2"/>
      <c r="E949" s="173"/>
      <c r="F949" s="296"/>
      <c r="G949" s="296">
        <f>SUM(G917:G948)</f>
        <v>359571</v>
      </c>
    </row>
    <row r="950" spans="1:7" ht="12.75" customHeight="1">
      <c r="A950" s="50"/>
      <c r="B950" s="235"/>
      <c r="C950" s="256"/>
      <c r="D950" s="2"/>
      <c r="E950" s="173"/>
      <c r="F950" s="296"/>
      <c r="G950" s="296"/>
    </row>
    <row r="951" spans="1:7" ht="12.75" customHeight="1">
      <c r="A951" s="50">
        <v>10</v>
      </c>
      <c r="B951" s="233">
        <v>10</v>
      </c>
      <c r="C951" s="254" t="s">
        <v>543</v>
      </c>
      <c r="D951" s="170"/>
      <c r="E951" s="321"/>
      <c r="F951" s="321"/>
      <c r="G951" s="321"/>
    </row>
    <row r="952" spans="1:7" ht="12.75" customHeight="1">
      <c r="A952" s="50"/>
      <c r="B952" s="234"/>
      <c r="C952" s="263" t="s">
        <v>160</v>
      </c>
      <c r="D952" s="9"/>
      <c r="E952" s="303"/>
      <c r="F952" s="208"/>
      <c r="G952" s="322"/>
    </row>
    <row r="953" spans="1:7" ht="12.75" customHeight="1">
      <c r="A953" s="50"/>
      <c r="B953" s="244" t="s">
        <v>466</v>
      </c>
      <c r="C953" s="252" t="s">
        <v>161</v>
      </c>
      <c r="D953" s="9" t="s">
        <v>246</v>
      </c>
      <c r="E953" s="303">
        <v>16334</v>
      </c>
      <c r="F953" s="93">
        <f>VLOOKUP(B953,'estrutura met'!A:AR,41,FALSE)</f>
        <v>12.979999999999999</v>
      </c>
      <c r="G953" s="297">
        <f t="shared" ref="G953:G986" si="47">TRUNC(E953*F953,2)</f>
        <v>212015.32</v>
      </c>
    </row>
    <row r="954" spans="1:7" ht="12.75" customHeight="1">
      <c r="A954" s="50"/>
      <c r="B954" s="234"/>
      <c r="C954" s="263" t="s">
        <v>162</v>
      </c>
      <c r="D954" s="9"/>
      <c r="E954" s="303"/>
      <c r="F954" s="208"/>
      <c r="G954" s="297">
        <f t="shared" si="47"/>
        <v>0</v>
      </c>
    </row>
    <row r="955" spans="1:7" ht="12.75" customHeight="1">
      <c r="A955" s="50"/>
      <c r="B955" s="234"/>
      <c r="C955" s="252" t="s">
        <v>163</v>
      </c>
      <c r="D955" s="9" t="s">
        <v>185</v>
      </c>
      <c r="E955" s="303">
        <v>513.6</v>
      </c>
      <c r="F955" s="208">
        <v>2939.29</v>
      </c>
      <c r="G955" s="297">
        <f t="shared" si="47"/>
        <v>1509619.34</v>
      </c>
    </row>
    <row r="956" spans="1:7" ht="12.75" customHeight="1">
      <c r="A956" s="50"/>
      <c r="B956" s="234"/>
      <c r="C956" s="252" t="s">
        <v>164</v>
      </c>
      <c r="D956" s="9" t="s">
        <v>185</v>
      </c>
      <c r="E956" s="303">
        <v>305.51400000000001</v>
      </c>
      <c r="F956" s="208">
        <v>521.41999999999996</v>
      </c>
      <c r="G956" s="297">
        <f t="shared" si="47"/>
        <v>159301.1</v>
      </c>
    </row>
    <row r="957" spans="1:7" ht="12.75" customHeight="1">
      <c r="A957" s="50"/>
      <c r="B957" s="234"/>
      <c r="C957" s="252" t="s">
        <v>165</v>
      </c>
      <c r="D957" s="9" t="s">
        <v>185</v>
      </c>
      <c r="E957" s="303">
        <v>12.3995</v>
      </c>
      <c r="F957" s="208">
        <v>285.98</v>
      </c>
      <c r="G957" s="297">
        <f t="shared" si="47"/>
        <v>3546</v>
      </c>
    </row>
    <row r="958" spans="1:7" ht="11.25" customHeight="1">
      <c r="A958" s="50"/>
      <c r="B958" s="234"/>
      <c r="C958" s="252" t="s">
        <v>166</v>
      </c>
      <c r="D958" s="9" t="s">
        <v>185</v>
      </c>
      <c r="E958" s="303">
        <v>21.84</v>
      </c>
      <c r="F958" s="208">
        <v>253.47</v>
      </c>
      <c r="G958" s="297">
        <f t="shared" si="47"/>
        <v>5535.78</v>
      </c>
    </row>
    <row r="959" spans="1:7" ht="22.5">
      <c r="A959" s="50"/>
      <c r="B959" s="234"/>
      <c r="C959" s="252" t="s">
        <v>167</v>
      </c>
      <c r="D959" s="9" t="s">
        <v>194</v>
      </c>
      <c r="E959" s="303">
        <v>128</v>
      </c>
      <c r="F959" s="208">
        <v>185.24</v>
      </c>
      <c r="G959" s="297">
        <f t="shared" si="47"/>
        <v>23710.720000000001</v>
      </c>
    </row>
    <row r="960" spans="1:7" ht="11.25" customHeight="1">
      <c r="A960" s="50"/>
      <c r="B960" s="234"/>
      <c r="C960" s="252" t="s">
        <v>168</v>
      </c>
      <c r="D960" s="9" t="s">
        <v>194</v>
      </c>
      <c r="E960" s="303">
        <v>20</v>
      </c>
      <c r="F960" s="208">
        <v>65.56</v>
      </c>
      <c r="G960" s="297">
        <f t="shared" si="47"/>
        <v>1311.2</v>
      </c>
    </row>
    <row r="961" spans="1:7" ht="12.75" customHeight="1">
      <c r="A961" s="50"/>
      <c r="B961" s="234"/>
      <c r="C961" s="252" t="s">
        <v>169</v>
      </c>
      <c r="D961" s="9" t="s">
        <v>189</v>
      </c>
      <c r="E961" s="303">
        <v>121.6</v>
      </c>
      <c r="F961" s="208">
        <v>15.67</v>
      </c>
      <c r="G961" s="297">
        <f t="shared" si="47"/>
        <v>1905.47</v>
      </c>
    </row>
    <row r="962" spans="1:7" ht="22.5">
      <c r="A962" s="50"/>
      <c r="B962" s="234"/>
      <c r="C962" s="252" t="s">
        <v>170</v>
      </c>
      <c r="D962" s="9" t="s">
        <v>185</v>
      </c>
      <c r="E962" s="303">
        <v>278.13632000000001</v>
      </c>
      <c r="F962" s="208">
        <v>2262.9699999999998</v>
      </c>
      <c r="G962" s="297">
        <f t="shared" si="47"/>
        <v>629414.14</v>
      </c>
    </row>
    <row r="963" spans="1:7">
      <c r="A963" s="50"/>
      <c r="B963" s="234"/>
      <c r="C963" s="263" t="s">
        <v>171</v>
      </c>
      <c r="D963" s="9"/>
      <c r="E963" s="303"/>
      <c r="F963" s="208"/>
      <c r="G963" s="297">
        <f t="shared" si="47"/>
        <v>0</v>
      </c>
    </row>
    <row r="964" spans="1:7" ht="12.75" customHeight="1">
      <c r="A964" s="50"/>
      <c r="B964" s="245" t="s">
        <v>172</v>
      </c>
      <c r="C964" s="252" t="s">
        <v>323</v>
      </c>
      <c r="D964" s="9" t="s">
        <v>185</v>
      </c>
      <c r="E964" s="303">
        <v>274.51</v>
      </c>
      <c r="F964" s="297">
        <f>VLOOKUP(B964,[1]Plan1!A$1:D$65536,4,FALSE)</f>
        <v>17.97</v>
      </c>
      <c r="G964" s="297">
        <f t="shared" si="47"/>
        <v>4932.9399999999996</v>
      </c>
    </row>
    <row r="965" spans="1:7" ht="11.25" customHeight="1">
      <c r="A965" s="50"/>
      <c r="B965" s="235">
        <v>4071</v>
      </c>
      <c r="C965" s="252" t="s">
        <v>173</v>
      </c>
      <c r="D965" s="9" t="s">
        <v>185</v>
      </c>
      <c r="E965" s="303">
        <v>225.23</v>
      </c>
      <c r="F965" s="297">
        <f>TRUNC(73.32*(456.49/400.353),2)</f>
        <v>83.6</v>
      </c>
      <c r="G965" s="297">
        <f t="shared" si="47"/>
        <v>18829.22</v>
      </c>
    </row>
    <row r="966" spans="1:7">
      <c r="A966" s="50"/>
      <c r="B966" s="244">
        <v>3102</v>
      </c>
      <c r="C966" s="252" t="s">
        <v>174</v>
      </c>
      <c r="D966" s="9" t="s">
        <v>185</v>
      </c>
      <c r="E966" s="303">
        <v>49.28</v>
      </c>
      <c r="F966" s="297">
        <f>TRUNC(87.62*(456.49/400.353),2)</f>
        <v>99.9</v>
      </c>
      <c r="G966" s="297">
        <f t="shared" si="47"/>
        <v>4923.07</v>
      </c>
    </row>
    <row r="967" spans="1:7">
      <c r="A967" s="50"/>
      <c r="B967" s="246"/>
      <c r="C967" s="263" t="s">
        <v>175</v>
      </c>
      <c r="D967" s="47"/>
      <c r="E967" s="303"/>
      <c r="F967" s="208"/>
      <c r="G967" s="297"/>
    </row>
    <row r="968" spans="1:7" ht="321.95" customHeight="1">
      <c r="A968" s="50"/>
      <c r="B968" s="246"/>
      <c r="C968" s="252" t="s">
        <v>564</v>
      </c>
      <c r="D968" s="47" t="s">
        <v>194</v>
      </c>
      <c r="E968" s="304">
        <v>6</v>
      </c>
      <c r="F968" s="312">
        <v>17060.66</v>
      </c>
      <c r="G968" s="297">
        <f t="shared" si="47"/>
        <v>102363.96</v>
      </c>
    </row>
    <row r="969" spans="1:7" ht="321.95" customHeight="1">
      <c r="A969" s="50"/>
      <c r="B969" s="246"/>
      <c r="C969" s="279" t="s">
        <v>565</v>
      </c>
      <c r="D969" s="47" t="s">
        <v>194</v>
      </c>
      <c r="E969" s="304">
        <v>2</v>
      </c>
      <c r="F969" s="312">
        <v>17047.66</v>
      </c>
      <c r="G969" s="297">
        <f t="shared" si="47"/>
        <v>34095.32</v>
      </c>
    </row>
    <row r="970" spans="1:7">
      <c r="A970" s="50"/>
      <c r="B970" s="246"/>
      <c r="C970" s="252" t="s">
        <v>502</v>
      </c>
      <c r="D970" s="47" t="s">
        <v>194</v>
      </c>
      <c r="E970" s="303">
        <v>2</v>
      </c>
      <c r="F970" s="208">
        <v>1001.2</v>
      </c>
      <c r="G970" s="297">
        <f t="shared" si="47"/>
        <v>2002.4</v>
      </c>
    </row>
    <row r="971" spans="1:7">
      <c r="A971" s="53"/>
      <c r="B971" s="246"/>
      <c r="C971" s="252" t="s">
        <v>176</v>
      </c>
      <c r="D971" s="47" t="s">
        <v>194</v>
      </c>
      <c r="E971" s="303">
        <v>2</v>
      </c>
      <c r="F971" s="208">
        <v>168.98</v>
      </c>
      <c r="G971" s="297">
        <f t="shared" si="47"/>
        <v>337.96</v>
      </c>
    </row>
    <row r="972" spans="1:7" ht="11.25" customHeight="1">
      <c r="A972" s="53"/>
      <c r="B972" s="246"/>
      <c r="C972" s="252" t="s">
        <v>177</v>
      </c>
      <c r="D972" s="47" t="s">
        <v>194</v>
      </c>
      <c r="E972" s="303">
        <v>2</v>
      </c>
      <c r="F972" s="208">
        <v>298.98</v>
      </c>
      <c r="G972" s="297">
        <f t="shared" si="47"/>
        <v>597.96</v>
      </c>
    </row>
    <row r="973" spans="1:7" ht="22.5">
      <c r="A973" s="53"/>
      <c r="B973" s="246"/>
      <c r="C973" s="252" t="s">
        <v>178</v>
      </c>
      <c r="D973" s="47" t="s">
        <v>194</v>
      </c>
      <c r="E973" s="303">
        <v>5</v>
      </c>
      <c r="F973" s="208">
        <v>231.1</v>
      </c>
      <c r="G973" s="297">
        <f t="shared" si="47"/>
        <v>1155.5</v>
      </c>
    </row>
    <row r="974" spans="1:7" ht="22.5">
      <c r="A974" s="53"/>
      <c r="B974" s="246"/>
      <c r="C974" s="252" t="s">
        <v>179</v>
      </c>
      <c r="D974" s="47" t="s">
        <v>252</v>
      </c>
      <c r="E974" s="303">
        <v>2</v>
      </c>
      <c r="F974" s="208">
        <v>728.73</v>
      </c>
      <c r="G974" s="297">
        <f t="shared" si="47"/>
        <v>1457.46</v>
      </c>
    </row>
    <row r="975" spans="1:7" ht="22.5">
      <c r="A975" s="53"/>
      <c r="B975" s="246"/>
      <c r="C975" s="252" t="s">
        <v>179</v>
      </c>
      <c r="D975" s="47" t="s">
        <v>252</v>
      </c>
      <c r="E975" s="303">
        <v>4</v>
      </c>
      <c r="F975" s="208">
        <v>483.5</v>
      </c>
      <c r="G975" s="297">
        <f t="shared" si="47"/>
        <v>1934</v>
      </c>
    </row>
    <row r="976" spans="1:7" ht="22.5">
      <c r="A976" s="53"/>
      <c r="B976" s="234"/>
      <c r="C976" s="252" t="s">
        <v>180</v>
      </c>
      <c r="D976" s="9" t="s">
        <v>194</v>
      </c>
      <c r="E976" s="303">
        <v>2</v>
      </c>
      <c r="F976" s="208">
        <v>980.69</v>
      </c>
      <c r="G976" s="297">
        <f t="shared" si="47"/>
        <v>1961.38</v>
      </c>
    </row>
    <row r="977" spans="1:7" ht="11.25" customHeight="1">
      <c r="A977" s="53"/>
      <c r="B977" s="234"/>
      <c r="C977" s="252" t="s">
        <v>181</v>
      </c>
      <c r="D977" s="9" t="s">
        <v>194</v>
      </c>
      <c r="E977" s="303">
        <v>2</v>
      </c>
      <c r="F977" s="208">
        <v>207.98</v>
      </c>
      <c r="G977" s="297">
        <f t="shared" si="47"/>
        <v>415.96</v>
      </c>
    </row>
    <row r="978" spans="1:7">
      <c r="A978" s="53"/>
      <c r="B978" s="235"/>
      <c r="C978" s="252" t="s">
        <v>324</v>
      </c>
      <c r="D978" s="9" t="s">
        <v>189</v>
      </c>
      <c r="E978" s="303">
        <v>32</v>
      </c>
      <c r="F978" s="208">
        <v>130</v>
      </c>
      <c r="G978" s="297">
        <f t="shared" si="47"/>
        <v>4160</v>
      </c>
    </row>
    <row r="979" spans="1:7" ht="22.5">
      <c r="A979" s="53"/>
      <c r="B979" s="234"/>
      <c r="C979" s="252" t="s">
        <v>182</v>
      </c>
      <c r="D979" s="9" t="s">
        <v>252</v>
      </c>
      <c r="E979" s="303">
        <v>20</v>
      </c>
      <c r="F979" s="208">
        <v>4550</v>
      </c>
      <c r="G979" s="297">
        <f t="shared" si="47"/>
        <v>91000</v>
      </c>
    </row>
    <row r="980" spans="1:7" ht="22.5">
      <c r="A980" s="53"/>
      <c r="B980" s="234"/>
      <c r="C980" s="252" t="s">
        <v>489</v>
      </c>
      <c r="D980" s="9" t="s">
        <v>194</v>
      </c>
      <c r="E980" s="303">
        <v>10</v>
      </c>
      <c r="F980" s="208">
        <v>370.34</v>
      </c>
      <c r="G980" s="297">
        <f t="shared" si="47"/>
        <v>3703.4</v>
      </c>
    </row>
    <row r="981" spans="1:7">
      <c r="A981" s="53"/>
      <c r="B981" s="235"/>
      <c r="C981" s="253" t="s">
        <v>318</v>
      </c>
      <c r="D981" s="1" t="s">
        <v>194</v>
      </c>
      <c r="E981" s="303">
        <v>2</v>
      </c>
      <c r="F981" s="208">
        <v>25225.200000000001</v>
      </c>
      <c r="G981" s="297">
        <f t="shared" si="47"/>
        <v>50450.400000000001</v>
      </c>
    </row>
    <row r="982" spans="1:7">
      <c r="A982" s="53"/>
      <c r="B982" s="235"/>
      <c r="C982" s="253" t="s">
        <v>319</v>
      </c>
      <c r="D982" s="1" t="s">
        <v>194</v>
      </c>
      <c r="E982" s="303">
        <v>1</v>
      </c>
      <c r="F982" s="208">
        <v>33848.1</v>
      </c>
      <c r="G982" s="297">
        <f t="shared" si="47"/>
        <v>33848.1</v>
      </c>
    </row>
    <row r="983" spans="1:7">
      <c r="A983" s="53"/>
      <c r="B983" s="235"/>
      <c r="C983" s="253" t="s">
        <v>320</v>
      </c>
      <c r="D983" s="1" t="s">
        <v>194</v>
      </c>
      <c r="E983" s="303">
        <v>24</v>
      </c>
      <c r="F983" s="208">
        <f>150</f>
        <v>150</v>
      </c>
      <c r="G983" s="297">
        <f t="shared" si="47"/>
        <v>3600</v>
      </c>
    </row>
    <row r="984" spans="1:7">
      <c r="A984" s="53"/>
      <c r="B984" s="235"/>
      <c r="C984" s="253" t="s">
        <v>321</v>
      </c>
      <c r="D984" s="1" t="s">
        <v>194</v>
      </c>
      <c r="E984" s="303">
        <v>6</v>
      </c>
      <c r="F984" s="208">
        <f>200</f>
        <v>200</v>
      </c>
      <c r="G984" s="297">
        <f t="shared" si="47"/>
        <v>1200</v>
      </c>
    </row>
    <row r="985" spans="1:7" ht="22.5">
      <c r="A985" s="53"/>
      <c r="B985" s="235"/>
      <c r="C985" s="253" t="s">
        <v>477</v>
      </c>
      <c r="D985" s="1" t="s">
        <v>194</v>
      </c>
      <c r="E985" s="303">
        <v>1</v>
      </c>
      <c r="F985" s="208">
        <v>195</v>
      </c>
      <c r="G985" s="297">
        <f t="shared" si="47"/>
        <v>195</v>
      </c>
    </row>
    <row r="986" spans="1:7" ht="22.5">
      <c r="A986" s="53"/>
      <c r="B986" s="241">
        <v>260253</v>
      </c>
      <c r="C986" s="253" t="s">
        <v>322</v>
      </c>
      <c r="D986" s="48" t="s">
        <v>194</v>
      </c>
      <c r="E986" s="303">
        <v>5</v>
      </c>
      <c r="F986" s="209">
        <v>196.09</v>
      </c>
      <c r="G986" s="297">
        <f t="shared" si="47"/>
        <v>980.45</v>
      </c>
    </row>
    <row r="987" spans="1:7">
      <c r="A987" s="225" t="s">
        <v>153</v>
      </c>
      <c r="B987" s="235"/>
      <c r="C987" s="256" t="s">
        <v>150</v>
      </c>
      <c r="D987" s="1"/>
      <c r="E987" s="303"/>
      <c r="F987" s="323"/>
      <c r="G987" s="324">
        <f>SUM(G953:G986)</f>
        <v>2910503.55</v>
      </c>
    </row>
    <row r="988" spans="1:7">
      <c r="A988" s="53"/>
      <c r="B988" s="235"/>
      <c r="C988" s="276"/>
      <c r="D988" s="1"/>
      <c r="E988" s="303"/>
      <c r="F988" s="323"/>
      <c r="G988" s="324"/>
    </row>
    <row r="989" spans="1:7">
      <c r="A989" s="53">
        <v>11</v>
      </c>
      <c r="B989" s="233">
        <v>11</v>
      </c>
      <c r="C989" s="254" t="s">
        <v>589</v>
      </c>
      <c r="D989" s="170"/>
      <c r="E989" s="178"/>
      <c r="F989" s="178"/>
      <c r="G989" s="178"/>
    </row>
    <row r="990" spans="1:7" ht="90">
      <c r="A990" s="53"/>
      <c r="B990" s="235"/>
      <c r="C990" s="258" t="s">
        <v>1320</v>
      </c>
      <c r="D990" s="1" t="s">
        <v>194</v>
      </c>
      <c r="E990" s="208">
        <v>2</v>
      </c>
      <c r="F990" s="209">
        <v>12000</v>
      </c>
      <c r="G990" s="297">
        <f t="shared" ref="G990:G1004" si="48">TRUNC(E990*F990,2)</f>
        <v>24000</v>
      </c>
    </row>
    <row r="991" spans="1:7">
      <c r="A991" s="53"/>
      <c r="B991" s="235"/>
      <c r="C991" s="253" t="s">
        <v>544</v>
      </c>
      <c r="D991" s="1" t="s">
        <v>246</v>
      </c>
      <c r="E991" s="208">
        <v>200</v>
      </c>
      <c r="F991" s="209">
        <v>25</v>
      </c>
      <c r="G991" s="297">
        <f t="shared" si="48"/>
        <v>5000</v>
      </c>
    </row>
    <row r="992" spans="1:7">
      <c r="A992" s="53"/>
      <c r="B992" s="235"/>
      <c r="C992" s="253" t="s">
        <v>332</v>
      </c>
      <c r="D992" s="1" t="s">
        <v>189</v>
      </c>
      <c r="E992" s="208">
        <v>12</v>
      </c>
      <c r="F992" s="209">
        <v>370</v>
      </c>
      <c r="G992" s="297">
        <f t="shared" si="48"/>
        <v>4440</v>
      </c>
    </row>
    <row r="993" spans="1:7">
      <c r="A993" s="53"/>
      <c r="B993" s="235"/>
      <c r="C993" s="253" t="s">
        <v>311</v>
      </c>
      <c r="D993" s="1" t="s">
        <v>545</v>
      </c>
      <c r="E993" s="208">
        <v>4</v>
      </c>
      <c r="F993" s="209">
        <v>300</v>
      </c>
      <c r="G993" s="297">
        <f t="shared" si="48"/>
        <v>1200</v>
      </c>
    </row>
    <row r="994" spans="1:7" ht="22.5">
      <c r="A994" s="53"/>
      <c r="B994" s="235"/>
      <c r="C994" s="253" t="s">
        <v>546</v>
      </c>
      <c r="D994" s="1" t="s">
        <v>251</v>
      </c>
      <c r="E994" s="208">
        <v>2</v>
      </c>
      <c r="F994" s="209">
        <v>1500</v>
      </c>
      <c r="G994" s="297">
        <f t="shared" si="48"/>
        <v>3000</v>
      </c>
    </row>
    <row r="995" spans="1:7">
      <c r="A995" s="53"/>
      <c r="B995" s="235"/>
      <c r="C995" s="253" t="s">
        <v>547</v>
      </c>
      <c r="D995" s="1" t="s">
        <v>251</v>
      </c>
      <c r="E995" s="208">
        <v>8</v>
      </c>
      <c r="F995" s="209">
        <v>10</v>
      </c>
      <c r="G995" s="297">
        <f t="shared" si="48"/>
        <v>80</v>
      </c>
    </row>
    <row r="996" spans="1:7">
      <c r="A996" s="53"/>
      <c r="B996" s="235"/>
      <c r="C996" s="253" t="s">
        <v>548</v>
      </c>
      <c r="D996" s="1" t="s">
        <v>251</v>
      </c>
      <c r="E996" s="208">
        <v>12</v>
      </c>
      <c r="F996" s="209">
        <v>150</v>
      </c>
      <c r="G996" s="297">
        <f t="shared" si="48"/>
        <v>1800</v>
      </c>
    </row>
    <row r="997" spans="1:7">
      <c r="A997" s="53"/>
      <c r="B997" s="235"/>
      <c r="C997" s="253" t="s">
        <v>549</v>
      </c>
      <c r="D997" s="1" t="s">
        <v>251</v>
      </c>
      <c r="E997" s="208">
        <v>8</v>
      </c>
      <c r="F997" s="209">
        <v>120</v>
      </c>
      <c r="G997" s="297">
        <f t="shared" si="48"/>
        <v>960</v>
      </c>
    </row>
    <row r="998" spans="1:7">
      <c r="A998" s="53"/>
      <c r="B998" s="235"/>
      <c r="C998" s="253" t="s">
        <v>550</v>
      </c>
      <c r="D998" s="1" t="s">
        <v>251</v>
      </c>
      <c r="E998" s="208">
        <v>4</v>
      </c>
      <c r="F998" s="209">
        <v>140</v>
      </c>
      <c r="G998" s="297">
        <f t="shared" si="48"/>
        <v>560</v>
      </c>
    </row>
    <row r="999" spans="1:7" ht="22.5">
      <c r="A999" s="53"/>
      <c r="B999" s="235"/>
      <c r="C999" s="253" t="s">
        <v>312</v>
      </c>
      <c r="D999" s="1" t="s">
        <v>251</v>
      </c>
      <c r="E999" s="208">
        <v>4</v>
      </c>
      <c r="F999" s="209">
        <v>120</v>
      </c>
      <c r="G999" s="297">
        <f t="shared" si="48"/>
        <v>480</v>
      </c>
    </row>
    <row r="1000" spans="1:7">
      <c r="A1000" s="53"/>
      <c r="B1000" s="235"/>
      <c r="C1000" s="253" t="s">
        <v>313</v>
      </c>
      <c r="D1000" s="1" t="s">
        <v>545</v>
      </c>
      <c r="E1000" s="208">
        <v>1</v>
      </c>
      <c r="F1000" s="209">
        <v>600</v>
      </c>
      <c r="G1000" s="297">
        <f t="shared" si="48"/>
        <v>600</v>
      </c>
    </row>
    <row r="1001" spans="1:7">
      <c r="A1001" s="53"/>
      <c r="B1001" s="235"/>
      <c r="C1001" s="253" t="s">
        <v>314</v>
      </c>
      <c r="D1001" s="1" t="s">
        <v>545</v>
      </c>
      <c r="E1001" s="208">
        <v>1</v>
      </c>
      <c r="F1001" s="209">
        <v>500</v>
      </c>
      <c r="G1001" s="297">
        <f t="shared" si="48"/>
        <v>500</v>
      </c>
    </row>
    <row r="1002" spans="1:7">
      <c r="A1002" s="53"/>
      <c r="B1002" s="235"/>
      <c r="C1002" s="253" t="s">
        <v>551</v>
      </c>
      <c r="D1002" s="1" t="s">
        <v>189</v>
      </c>
      <c r="E1002" s="208">
        <v>95</v>
      </c>
      <c r="F1002" s="209">
        <v>100</v>
      </c>
      <c r="G1002" s="297">
        <f t="shared" si="48"/>
        <v>9500</v>
      </c>
    </row>
    <row r="1003" spans="1:7">
      <c r="A1003" s="50"/>
      <c r="B1003" s="235"/>
      <c r="C1003" s="253" t="s">
        <v>315</v>
      </c>
      <c r="D1003" s="1" t="s">
        <v>545</v>
      </c>
      <c r="E1003" s="208">
        <v>1</v>
      </c>
      <c r="F1003" s="209">
        <v>2000</v>
      </c>
      <c r="G1003" s="297">
        <f t="shared" si="48"/>
        <v>2000</v>
      </c>
    </row>
    <row r="1004" spans="1:7">
      <c r="A1004" s="50"/>
      <c r="B1004" s="235"/>
      <c r="C1004" s="258" t="s">
        <v>552</v>
      </c>
      <c r="D1004" s="1" t="s">
        <v>545</v>
      </c>
      <c r="E1004" s="208">
        <v>1</v>
      </c>
      <c r="F1004" s="209">
        <v>8000</v>
      </c>
      <c r="G1004" s="297">
        <f t="shared" si="48"/>
        <v>8000</v>
      </c>
    </row>
    <row r="1005" spans="1:7">
      <c r="A1005" s="225"/>
      <c r="B1005" s="235"/>
      <c r="C1005" s="260" t="s">
        <v>554</v>
      </c>
      <c r="D1005" s="1"/>
      <c r="E1005" s="208"/>
      <c r="F1005" s="209"/>
      <c r="G1005" s="297">
        <f>SUM(G990:G1004)</f>
        <v>62120</v>
      </c>
    </row>
    <row r="1006" spans="1:7">
      <c r="A1006" s="225"/>
      <c r="B1006" s="235"/>
      <c r="C1006" s="260" t="s">
        <v>553</v>
      </c>
      <c r="D1006" s="1" t="s">
        <v>134</v>
      </c>
      <c r="E1006" s="208">
        <v>20.309999999999999</v>
      </c>
      <c r="F1006" s="209"/>
      <c r="G1006" s="297">
        <f>ROUND(G1005*E1006/100,2)</f>
        <v>12616.57</v>
      </c>
    </row>
    <row r="1007" spans="1:7">
      <c r="A1007" s="225" t="s">
        <v>152</v>
      </c>
      <c r="B1007" s="235"/>
      <c r="C1007" s="256" t="s">
        <v>151</v>
      </c>
      <c r="D1007" s="2"/>
      <c r="E1007" s="208"/>
      <c r="F1007" s="209"/>
      <c r="G1007" s="315">
        <f>SUM(G1005:G1006)</f>
        <v>74736.570000000007</v>
      </c>
    </row>
    <row r="1008" spans="1:7">
      <c r="A1008" s="225"/>
      <c r="B1008" s="235"/>
      <c r="C1008" s="256"/>
      <c r="D1008" s="2"/>
      <c r="E1008" s="208"/>
      <c r="F1008" s="209"/>
      <c r="G1008" s="315"/>
    </row>
    <row r="1009" spans="1:7">
      <c r="A1009" s="225">
        <v>12</v>
      </c>
      <c r="B1009" s="233">
        <v>12</v>
      </c>
      <c r="C1009" s="254" t="s">
        <v>590</v>
      </c>
      <c r="D1009" s="170"/>
      <c r="E1009" s="178"/>
      <c r="F1009" s="178"/>
      <c r="G1009" s="178"/>
    </row>
    <row r="1010" spans="1:7" ht="11.25" customHeight="1">
      <c r="A1010" s="225"/>
      <c r="B1010" s="235" t="s">
        <v>0</v>
      </c>
      <c r="C1010" s="253" t="s">
        <v>47</v>
      </c>
      <c r="D1010" s="1" t="s">
        <v>194</v>
      </c>
      <c r="E1010" s="303">
        <v>5</v>
      </c>
      <c r="F1010" s="297">
        <f>VLOOKUP(B1010,[1]Plan1!A$1:D$65536,4,FALSE)</f>
        <v>39.39</v>
      </c>
      <c r="G1010" s="297">
        <f t="shared" ref="G1010:G1069" si="49">TRUNC(E1010*F1010,2)</f>
        <v>196.95</v>
      </c>
    </row>
    <row r="1011" spans="1:7">
      <c r="A1011" s="225"/>
      <c r="B1011" s="235" t="s">
        <v>1</v>
      </c>
      <c r="C1011" s="253" t="s">
        <v>48</v>
      </c>
      <c r="D1011" s="1" t="s">
        <v>194</v>
      </c>
      <c r="E1011" s="303">
        <v>1</v>
      </c>
      <c r="F1011" s="297">
        <f>VLOOKUP(B1011,[1]Plan1!A$1:D$65536,4,FALSE)</f>
        <v>31.91</v>
      </c>
      <c r="G1011" s="297">
        <f t="shared" si="49"/>
        <v>31.91</v>
      </c>
    </row>
    <row r="1012" spans="1:7">
      <c r="A1012" s="225"/>
      <c r="B1012" s="235" t="s">
        <v>2</v>
      </c>
      <c r="C1012" s="253" t="s">
        <v>49</v>
      </c>
      <c r="D1012" s="1" t="s">
        <v>189</v>
      </c>
      <c r="E1012" s="303">
        <v>60</v>
      </c>
      <c r="F1012" s="297">
        <f>VLOOKUP(B1012,[1]Plan1!A$1:D$65536,4,FALSE)</f>
        <v>4.04</v>
      </c>
      <c r="G1012" s="297">
        <f t="shared" si="49"/>
        <v>242.4</v>
      </c>
    </row>
    <row r="1013" spans="1:7">
      <c r="A1013" s="225"/>
      <c r="B1013" s="235" t="s">
        <v>3</v>
      </c>
      <c r="C1013" s="253" t="s">
        <v>50</v>
      </c>
      <c r="D1013" s="1" t="s">
        <v>189</v>
      </c>
      <c r="E1013" s="303">
        <v>38</v>
      </c>
      <c r="F1013" s="297">
        <f>VLOOKUP(B1013,[1]Plan1!A$1:D$65536,4,FALSE)</f>
        <v>6.93</v>
      </c>
      <c r="G1013" s="297">
        <f t="shared" si="49"/>
        <v>263.33999999999997</v>
      </c>
    </row>
    <row r="1014" spans="1:7" ht="23.1" customHeight="1">
      <c r="A1014" s="225"/>
      <c r="B1014" s="235" t="s">
        <v>4</v>
      </c>
      <c r="C1014" s="253" t="s">
        <v>51</v>
      </c>
      <c r="D1014" s="1" t="s">
        <v>194</v>
      </c>
      <c r="E1014" s="303">
        <v>4</v>
      </c>
      <c r="F1014" s="297">
        <f>VLOOKUP(B1014,[1]Plan1!A$1:D$65536,4,FALSE)</f>
        <v>1.74</v>
      </c>
      <c r="G1014" s="297">
        <f t="shared" si="49"/>
        <v>6.96</v>
      </c>
    </row>
    <row r="1015" spans="1:7" ht="23.1" customHeight="1">
      <c r="A1015" s="225"/>
      <c r="B1015" s="235" t="s">
        <v>5</v>
      </c>
      <c r="C1015" s="253" t="s">
        <v>52</v>
      </c>
      <c r="D1015" s="1" t="s">
        <v>194</v>
      </c>
      <c r="E1015" s="303">
        <v>8</v>
      </c>
      <c r="F1015" s="297">
        <f>VLOOKUP(B1015,[1]Plan1!A$1:D$65536,4,FALSE)</f>
        <v>2.74</v>
      </c>
      <c r="G1015" s="297">
        <f t="shared" si="49"/>
        <v>21.92</v>
      </c>
    </row>
    <row r="1016" spans="1:7" ht="23.1" customHeight="1">
      <c r="A1016" s="225"/>
      <c r="B1016" s="235" t="s">
        <v>6</v>
      </c>
      <c r="C1016" s="253" t="s">
        <v>53</v>
      </c>
      <c r="D1016" s="1" t="s">
        <v>194</v>
      </c>
      <c r="E1016" s="303">
        <v>4</v>
      </c>
      <c r="F1016" s="297">
        <f>VLOOKUP(B1016,[1]Plan1!A$1:D$65536,4,FALSE)</f>
        <v>7.19</v>
      </c>
      <c r="G1016" s="297">
        <f t="shared" si="49"/>
        <v>28.76</v>
      </c>
    </row>
    <row r="1017" spans="1:7" ht="23.1" customHeight="1">
      <c r="A1017" s="225"/>
      <c r="B1017" s="235" t="s">
        <v>7</v>
      </c>
      <c r="C1017" s="253" t="s">
        <v>54</v>
      </c>
      <c r="D1017" s="1" t="s">
        <v>194</v>
      </c>
      <c r="E1017" s="303">
        <v>1</v>
      </c>
      <c r="F1017" s="297">
        <f>VLOOKUP(B1017,[1]Plan1!A$1:D$65536,4,FALSE)</f>
        <v>12.36</v>
      </c>
      <c r="G1017" s="297">
        <f t="shared" si="49"/>
        <v>12.36</v>
      </c>
    </row>
    <row r="1018" spans="1:7" ht="23.1" customHeight="1">
      <c r="A1018" s="225"/>
      <c r="B1018" s="235" t="s">
        <v>8</v>
      </c>
      <c r="C1018" s="253" t="s">
        <v>55</v>
      </c>
      <c r="D1018" s="1" t="s">
        <v>194</v>
      </c>
      <c r="E1018" s="303">
        <v>1</v>
      </c>
      <c r="F1018" s="297">
        <f>VLOOKUP(B1018,[1]Plan1!A$1:D$65536,4,FALSE)</f>
        <v>17.2</v>
      </c>
      <c r="G1018" s="297">
        <f t="shared" si="49"/>
        <v>17.2</v>
      </c>
    </row>
    <row r="1019" spans="1:7" ht="23.1" customHeight="1">
      <c r="A1019" s="225"/>
      <c r="B1019" s="235" t="s">
        <v>9</v>
      </c>
      <c r="C1019" s="253" t="s">
        <v>56</v>
      </c>
      <c r="D1019" s="1" t="s">
        <v>194</v>
      </c>
      <c r="E1019" s="303">
        <v>1</v>
      </c>
      <c r="F1019" s="297">
        <f>VLOOKUP(B1019,[1]Plan1!A$1:D$65536,4,FALSE)</f>
        <v>33.159999999999997</v>
      </c>
      <c r="G1019" s="297">
        <f t="shared" si="49"/>
        <v>33.159999999999997</v>
      </c>
    </row>
    <row r="1020" spans="1:7">
      <c r="A1020" s="225"/>
      <c r="B1020" s="235" t="s">
        <v>10</v>
      </c>
      <c r="C1020" s="253" t="s">
        <v>57</v>
      </c>
      <c r="D1020" s="1" t="s">
        <v>194</v>
      </c>
      <c r="E1020" s="303">
        <v>8</v>
      </c>
      <c r="F1020" s="297">
        <f>VLOOKUP(B1020,[1]Plan1!A$1:D$65536,4,FALSE)</f>
        <v>1.83</v>
      </c>
      <c r="G1020" s="297">
        <f t="shared" si="49"/>
        <v>14.64</v>
      </c>
    </row>
    <row r="1021" spans="1:7">
      <c r="A1021" s="225"/>
      <c r="B1021" s="235" t="s">
        <v>11</v>
      </c>
      <c r="C1021" s="253" t="s">
        <v>58</v>
      </c>
      <c r="D1021" s="1" t="s">
        <v>194</v>
      </c>
      <c r="E1021" s="303">
        <v>2</v>
      </c>
      <c r="F1021" s="297">
        <f>VLOOKUP(B1021,[1]Plan1!A$1:D$65536,4,FALSE)</f>
        <v>3.56</v>
      </c>
      <c r="G1021" s="297">
        <f t="shared" si="49"/>
        <v>7.12</v>
      </c>
    </row>
    <row r="1022" spans="1:7" ht="11.25" customHeight="1">
      <c r="A1022" s="225"/>
      <c r="B1022" s="235" t="s">
        <v>12</v>
      </c>
      <c r="C1022" s="253" t="s">
        <v>59</v>
      </c>
      <c r="D1022" s="1" t="s">
        <v>194</v>
      </c>
      <c r="E1022" s="303">
        <v>3</v>
      </c>
      <c r="F1022" s="297">
        <f>VLOOKUP(B1022,[1]Plan1!A$1:D$65536,4,FALSE)</f>
        <v>9.61</v>
      </c>
      <c r="G1022" s="297">
        <f t="shared" si="49"/>
        <v>28.83</v>
      </c>
    </row>
    <row r="1023" spans="1:7" ht="11.25" customHeight="1">
      <c r="A1023" s="225"/>
      <c r="B1023" s="235" t="s">
        <v>13</v>
      </c>
      <c r="C1023" s="253" t="s">
        <v>60</v>
      </c>
      <c r="D1023" s="1" t="s">
        <v>194</v>
      </c>
      <c r="E1023" s="303">
        <v>2</v>
      </c>
      <c r="F1023" s="297">
        <f>VLOOKUP(B1023,[1]Plan1!A$1:D$65536,4,FALSE)</f>
        <v>2.31</v>
      </c>
      <c r="G1023" s="297">
        <f t="shared" si="49"/>
        <v>4.62</v>
      </c>
    </row>
    <row r="1024" spans="1:7">
      <c r="A1024" s="225"/>
      <c r="B1024" s="235" t="s">
        <v>14</v>
      </c>
      <c r="C1024" s="253" t="s">
        <v>61</v>
      </c>
      <c r="D1024" s="1" t="s">
        <v>194</v>
      </c>
      <c r="E1024" s="303">
        <v>2</v>
      </c>
      <c r="F1024" s="297">
        <f>VLOOKUP(B1024,[1]Plan1!A$1:D$65536,4,FALSE)</f>
        <v>1.83</v>
      </c>
      <c r="G1024" s="297">
        <f t="shared" si="49"/>
        <v>3.66</v>
      </c>
    </row>
    <row r="1025" spans="1:7">
      <c r="A1025" s="225"/>
      <c r="B1025" s="235" t="s">
        <v>15</v>
      </c>
      <c r="C1025" s="253" t="s">
        <v>62</v>
      </c>
      <c r="D1025" s="1" t="s">
        <v>194</v>
      </c>
      <c r="E1025" s="303">
        <v>2</v>
      </c>
      <c r="F1025" s="297">
        <f>VLOOKUP(B1025,[1]Plan1!A$1:D$65536,4,FALSE)</f>
        <v>2.74</v>
      </c>
      <c r="G1025" s="297">
        <f t="shared" si="49"/>
        <v>5.48</v>
      </c>
    </row>
    <row r="1026" spans="1:7">
      <c r="A1026" s="225"/>
      <c r="B1026" s="235" t="s">
        <v>16</v>
      </c>
      <c r="C1026" s="253" t="s">
        <v>63</v>
      </c>
      <c r="D1026" s="1" t="s">
        <v>194</v>
      </c>
      <c r="E1026" s="303">
        <v>2</v>
      </c>
      <c r="F1026" s="297">
        <f>VLOOKUP(B1026,[1]Plan1!A$1:D$65536,4,FALSE)</f>
        <v>25.43</v>
      </c>
      <c r="G1026" s="297">
        <f t="shared" si="49"/>
        <v>50.86</v>
      </c>
    </row>
    <row r="1027" spans="1:7" ht="22.5">
      <c r="A1027" s="225"/>
      <c r="B1027" s="235" t="s">
        <v>218</v>
      </c>
      <c r="C1027" s="253" t="s">
        <v>253</v>
      </c>
      <c r="D1027" s="1" t="s">
        <v>189</v>
      </c>
      <c r="E1027" s="303">
        <v>6</v>
      </c>
      <c r="F1027" s="297">
        <f>VLOOKUP(B1027,[1]Plan1!A$1:D$65536,4,FALSE)</f>
        <v>6.48</v>
      </c>
      <c r="G1027" s="297">
        <f t="shared" si="49"/>
        <v>38.880000000000003</v>
      </c>
    </row>
    <row r="1028" spans="1:7" ht="12.75" customHeight="1">
      <c r="A1028" s="225"/>
      <c r="B1028" s="235" t="s">
        <v>219</v>
      </c>
      <c r="C1028" s="253" t="s">
        <v>254</v>
      </c>
      <c r="D1028" s="1" t="s">
        <v>194</v>
      </c>
      <c r="E1028" s="303">
        <v>7</v>
      </c>
      <c r="F1028" s="297">
        <f>VLOOKUP(B1028,[1]Plan1!A$1:D$65536,4,FALSE)</f>
        <v>0.84</v>
      </c>
      <c r="G1028" s="297">
        <f t="shared" si="49"/>
        <v>5.88</v>
      </c>
    </row>
    <row r="1029" spans="1:7">
      <c r="A1029" s="225"/>
      <c r="B1029" s="235" t="s">
        <v>220</v>
      </c>
      <c r="C1029" s="253" t="s">
        <v>255</v>
      </c>
      <c r="D1029" s="1" t="s">
        <v>194</v>
      </c>
      <c r="E1029" s="303">
        <v>5</v>
      </c>
      <c r="F1029" s="297">
        <f>VLOOKUP(B1029,[1]Plan1!A$1:D$65536,4,FALSE)</f>
        <v>1.08</v>
      </c>
      <c r="G1029" s="297">
        <f t="shared" si="49"/>
        <v>5.4</v>
      </c>
    </row>
    <row r="1030" spans="1:7" ht="11.25" customHeight="1">
      <c r="A1030" s="225"/>
      <c r="B1030" s="235" t="s">
        <v>221</v>
      </c>
      <c r="C1030" s="253" t="s">
        <v>256</v>
      </c>
      <c r="D1030" s="1" t="s">
        <v>194</v>
      </c>
      <c r="E1030" s="303">
        <v>19</v>
      </c>
      <c r="F1030" s="297">
        <f>VLOOKUP(B1030,[1]Plan1!A$1:D$65536,4,FALSE)</f>
        <v>1.44</v>
      </c>
      <c r="G1030" s="297">
        <f t="shared" si="49"/>
        <v>27.36</v>
      </c>
    </row>
    <row r="1031" spans="1:7">
      <c r="A1031" s="225"/>
      <c r="B1031" s="235" t="s">
        <v>222</v>
      </c>
      <c r="C1031" s="253" t="s">
        <v>257</v>
      </c>
      <c r="D1031" s="1" t="s">
        <v>194</v>
      </c>
      <c r="E1031" s="303">
        <v>4</v>
      </c>
      <c r="F1031" s="297">
        <f>VLOOKUP(B1031,[1]Plan1!A$1:D$65536,4,FALSE)</f>
        <v>5.29</v>
      </c>
      <c r="G1031" s="297">
        <f t="shared" si="49"/>
        <v>21.16</v>
      </c>
    </row>
    <row r="1032" spans="1:7">
      <c r="A1032" s="225"/>
      <c r="B1032" s="235" t="s">
        <v>223</v>
      </c>
      <c r="C1032" s="253" t="s">
        <v>258</v>
      </c>
      <c r="D1032" s="1" t="s">
        <v>194</v>
      </c>
      <c r="E1032" s="303">
        <v>3</v>
      </c>
      <c r="F1032" s="297">
        <f>VLOOKUP(B1032,[1]Plan1!A$1:D$65536,4,FALSE)</f>
        <v>6.16</v>
      </c>
      <c r="G1032" s="297">
        <f t="shared" si="49"/>
        <v>18.48</v>
      </c>
    </row>
    <row r="1033" spans="1:7" ht="24.95" customHeight="1">
      <c r="A1033" s="225"/>
      <c r="B1033" s="235" t="s">
        <v>224</v>
      </c>
      <c r="C1033" s="253" t="s">
        <v>259</v>
      </c>
      <c r="D1033" s="1" t="s">
        <v>194</v>
      </c>
      <c r="E1033" s="303">
        <v>1</v>
      </c>
      <c r="F1033" s="297">
        <f>VLOOKUP(B1033,[1]Plan1!A$1:D$65536,4,FALSE)</f>
        <v>12.01</v>
      </c>
      <c r="G1033" s="297">
        <f t="shared" si="49"/>
        <v>12.01</v>
      </c>
    </row>
    <row r="1034" spans="1:7" ht="12.75" customHeight="1">
      <c r="A1034" s="225"/>
      <c r="B1034" s="235" t="s">
        <v>225</v>
      </c>
      <c r="C1034" s="253" t="s">
        <v>260</v>
      </c>
      <c r="D1034" s="1" t="s">
        <v>194</v>
      </c>
      <c r="E1034" s="303">
        <v>9</v>
      </c>
      <c r="F1034" s="297">
        <f>VLOOKUP(B1034,[1]Plan1!A$1:D$65536,4,FALSE)</f>
        <v>14.43</v>
      </c>
      <c r="G1034" s="297">
        <f t="shared" si="49"/>
        <v>129.87</v>
      </c>
    </row>
    <row r="1035" spans="1:7" ht="11.25" customHeight="1">
      <c r="A1035" s="225"/>
      <c r="B1035" s="235" t="s">
        <v>226</v>
      </c>
      <c r="C1035" s="253" t="s">
        <v>261</v>
      </c>
      <c r="D1035" s="1" t="s">
        <v>194</v>
      </c>
      <c r="E1035" s="303">
        <v>5</v>
      </c>
      <c r="F1035" s="297">
        <f>VLOOKUP(B1035,[1]Plan1!A$1:D$65536,4,FALSE)</f>
        <v>44.82</v>
      </c>
      <c r="G1035" s="297">
        <f t="shared" si="49"/>
        <v>224.1</v>
      </c>
    </row>
    <row r="1036" spans="1:7" ht="22.5">
      <c r="A1036" s="225"/>
      <c r="B1036" s="235" t="s">
        <v>195</v>
      </c>
      <c r="C1036" s="258" t="s">
        <v>262</v>
      </c>
      <c r="D1036" s="1" t="s">
        <v>194</v>
      </c>
      <c r="E1036" s="303">
        <v>8</v>
      </c>
      <c r="F1036" s="297">
        <f>VLOOKUP(B1036,[1]Plan1!A$1:D$65536,4,FALSE)</f>
        <v>22.49</v>
      </c>
      <c r="G1036" s="297">
        <f t="shared" si="49"/>
        <v>179.92</v>
      </c>
    </row>
    <row r="1037" spans="1:7" ht="22.5">
      <c r="A1037" s="225"/>
      <c r="B1037" s="235" t="s">
        <v>216</v>
      </c>
      <c r="C1037" s="253" t="s">
        <v>263</v>
      </c>
      <c r="D1037" s="1" t="s">
        <v>194</v>
      </c>
      <c r="E1037" s="303">
        <v>2</v>
      </c>
      <c r="F1037" s="297">
        <f>VLOOKUP(B1037,[1]Plan1!A$1:D$65536,4,FALSE)</f>
        <v>125.87</v>
      </c>
      <c r="G1037" s="297">
        <f t="shared" si="49"/>
        <v>251.74</v>
      </c>
    </row>
    <row r="1038" spans="1:7">
      <c r="A1038" s="225"/>
      <c r="B1038" s="235" t="s">
        <v>217</v>
      </c>
      <c r="C1038" s="253" t="s">
        <v>264</v>
      </c>
      <c r="D1038" s="1" t="s">
        <v>194</v>
      </c>
      <c r="E1038" s="303">
        <v>2</v>
      </c>
      <c r="F1038" s="297">
        <f>VLOOKUP(B1038,[1]Plan1!A$1:D$65536,4,FALSE)</f>
        <v>113.84</v>
      </c>
      <c r="G1038" s="297">
        <f t="shared" si="49"/>
        <v>227.68</v>
      </c>
    </row>
    <row r="1039" spans="1:7" ht="12.75" customHeight="1">
      <c r="A1039" s="225"/>
      <c r="B1039" s="235"/>
      <c r="C1039" s="253" t="s">
        <v>266</v>
      </c>
      <c r="D1039" s="1" t="s">
        <v>194</v>
      </c>
      <c r="E1039" s="303">
        <v>4</v>
      </c>
      <c r="F1039" s="297">
        <v>4.88</v>
      </c>
      <c r="G1039" s="297">
        <f t="shared" si="49"/>
        <v>19.52</v>
      </c>
    </row>
    <row r="1040" spans="1:7" ht="22.5">
      <c r="A1040" s="225"/>
      <c r="B1040" s="235" t="s">
        <v>196</v>
      </c>
      <c r="C1040" s="253" t="s">
        <v>198</v>
      </c>
      <c r="D1040" s="1" t="s">
        <v>189</v>
      </c>
      <c r="E1040" s="303">
        <v>5</v>
      </c>
      <c r="F1040" s="297">
        <f>VLOOKUP(B1040,[1]Plan1!A$1:D$65536,4,FALSE)</f>
        <v>9.76</v>
      </c>
      <c r="G1040" s="297">
        <f t="shared" si="49"/>
        <v>48.8</v>
      </c>
    </row>
    <row r="1041" spans="1:7" ht="22.5">
      <c r="A1041" s="225"/>
      <c r="B1041" s="235" t="s">
        <v>197</v>
      </c>
      <c r="C1041" s="253" t="s">
        <v>199</v>
      </c>
      <c r="D1041" s="1" t="s">
        <v>189</v>
      </c>
      <c r="E1041" s="303">
        <v>448</v>
      </c>
      <c r="F1041" s="297">
        <f>VLOOKUP(B1041,[1]Plan1!A$1:D$65536,4,FALSE)</f>
        <v>15.36</v>
      </c>
      <c r="G1041" s="297">
        <f t="shared" si="49"/>
        <v>6881.28</v>
      </c>
    </row>
    <row r="1042" spans="1:7">
      <c r="A1042" s="225"/>
      <c r="B1042" s="235" t="s">
        <v>200</v>
      </c>
      <c r="C1042" s="272" t="s">
        <v>35</v>
      </c>
      <c r="D1042" s="29" t="s">
        <v>194</v>
      </c>
      <c r="E1042" s="303">
        <v>1</v>
      </c>
      <c r="F1042" s="297">
        <f>VLOOKUP(B1042,[1]Plan1!A$1:D$65536,4,FALSE)</f>
        <v>199.91</v>
      </c>
      <c r="G1042" s="297">
        <f t="shared" si="49"/>
        <v>199.91</v>
      </c>
    </row>
    <row r="1043" spans="1:7">
      <c r="A1043" s="52"/>
      <c r="B1043" s="235" t="s">
        <v>201</v>
      </c>
      <c r="C1043" s="272" t="s">
        <v>36</v>
      </c>
      <c r="D1043" s="29" t="s">
        <v>194</v>
      </c>
      <c r="E1043" s="303">
        <v>1</v>
      </c>
      <c r="F1043" s="297">
        <f>VLOOKUP(B1043,[1]Plan1!A$1:D$65536,4,FALSE)</f>
        <v>94.61</v>
      </c>
      <c r="G1043" s="297">
        <f t="shared" si="49"/>
        <v>94.61</v>
      </c>
    </row>
    <row r="1044" spans="1:7">
      <c r="A1044" s="50"/>
      <c r="B1044" s="235" t="s">
        <v>202</v>
      </c>
      <c r="C1044" s="272" t="s">
        <v>37</v>
      </c>
      <c r="D1044" s="29" t="s">
        <v>194</v>
      </c>
      <c r="E1044" s="208">
        <v>1</v>
      </c>
      <c r="F1044" s="297">
        <f>VLOOKUP(B1044,[1]Plan1!A$1:D$65536,4,FALSE)</f>
        <v>30.22</v>
      </c>
      <c r="G1044" s="297">
        <f t="shared" si="49"/>
        <v>30.22</v>
      </c>
    </row>
    <row r="1045" spans="1:7">
      <c r="A1045" s="50"/>
      <c r="B1045" s="235" t="s">
        <v>203</v>
      </c>
      <c r="C1045" s="272" t="s">
        <v>38</v>
      </c>
      <c r="D1045" s="29" t="s">
        <v>194</v>
      </c>
      <c r="E1045" s="208">
        <v>1</v>
      </c>
      <c r="F1045" s="297">
        <f>VLOOKUP(B1045,[1]Plan1!A$1:D$65536,4,FALSE)</f>
        <v>14.46</v>
      </c>
      <c r="G1045" s="297">
        <f t="shared" si="49"/>
        <v>14.46</v>
      </c>
    </row>
    <row r="1046" spans="1:7">
      <c r="A1046" s="50"/>
      <c r="B1046" s="235" t="s">
        <v>204</v>
      </c>
      <c r="C1046" s="272" t="s">
        <v>39</v>
      </c>
      <c r="D1046" s="29" t="s">
        <v>194</v>
      </c>
      <c r="E1046" s="303">
        <v>1</v>
      </c>
      <c r="F1046" s="297">
        <f>VLOOKUP(B1046,[1]Plan1!A$1:D$65536,4,FALSE)</f>
        <v>31.09</v>
      </c>
      <c r="G1046" s="297">
        <f t="shared" si="49"/>
        <v>31.09</v>
      </c>
    </row>
    <row r="1047" spans="1:7">
      <c r="A1047" s="50"/>
      <c r="B1047" s="235"/>
      <c r="C1047" s="272" t="s">
        <v>34</v>
      </c>
      <c r="D1047" s="29" t="s">
        <v>194</v>
      </c>
      <c r="E1047" s="303">
        <v>1</v>
      </c>
      <c r="F1047" s="297">
        <v>33.630000000000003</v>
      </c>
      <c r="G1047" s="297">
        <f t="shared" si="49"/>
        <v>33.630000000000003</v>
      </c>
    </row>
    <row r="1048" spans="1:7">
      <c r="A1048" s="50"/>
      <c r="B1048" s="235"/>
      <c r="C1048" s="272" t="s">
        <v>129</v>
      </c>
      <c r="D1048" s="29" t="s">
        <v>194</v>
      </c>
      <c r="E1048" s="303">
        <v>1</v>
      </c>
      <c r="F1048" s="208">
        <v>37.15</v>
      </c>
      <c r="G1048" s="297">
        <f t="shared" si="49"/>
        <v>37.15</v>
      </c>
    </row>
    <row r="1049" spans="1:7">
      <c r="A1049" s="50"/>
      <c r="B1049" s="235"/>
      <c r="C1049" s="272" t="s">
        <v>130</v>
      </c>
      <c r="D1049" s="29" t="s">
        <v>194</v>
      </c>
      <c r="E1049" s="303">
        <v>1</v>
      </c>
      <c r="F1049" s="208">
        <v>47.29</v>
      </c>
      <c r="G1049" s="297">
        <f t="shared" si="49"/>
        <v>47.29</v>
      </c>
    </row>
    <row r="1050" spans="1:7">
      <c r="A1050" s="50"/>
      <c r="B1050" s="235" t="s">
        <v>17</v>
      </c>
      <c r="C1050" s="272" t="s">
        <v>40</v>
      </c>
      <c r="D1050" s="29" t="s">
        <v>194</v>
      </c>
      <c r="E1050" s="303">
        <v>1</v>
      </c>
      <c r="F1050" s="297">
        <f>VLOOKUP(B1050,[1]Plan1!A$1:D$65536,4,FALSE)</f>
        <v>165.91</v>
      </c>
      <c r="G1050" s="297">
        <f t="shared" si="49"/>
        <v>165.91</v>
      </c>
    </row>
    <row r="1051" spans="1:7">
      <c r="A1051" s="50"/>
      <c r="B1051" s="235" t="s">
        <v>776</v>
      </c>
      <c r="C1051" s="257" t="s">
        <v>131</v>
      </c>
      <c r="D1051" s="1" t="s">
        <v>194</v>
      </c>
      <c r="E1051" s="303">
        <v>1</v>
      </c>
      <c r="F1051" s="209">
        <f>VLOOKUP(B1051,hidro!A:AR,41,FALSE)</f>
        <v>207.29000000000002</v>
      </c>
      <c r="G1051" s="297">
        <f t="shared" si="49"/>
        <v>207.29</v>
      </c>
    </row>
    <row r="1052" spans="1:7" ht="22.5">
      <c r="A1052" s="50"/>
      <c r="B1052" s="235" t="s">
        <v>775</v>
      </c>
      <c r="C1052" s="253" t="s">
        <v>132</v>
      </c>
      <c r="D1052" s="1" t="s">
        <v>194</v>
      </c>
      <c r="E1052" s="303">
        <v>10</v>
      </c>
      <c r="F1052" s="209">
        <f>VLOOKUP(B1052,hidro!A:AR,41,FALSE)</f>
        <v>360.38</v>
      </c>
      <c r="G1052" s="297">
        <f t="shared" si="49"/>
        <v>3603.8</v>
      </c>
    </row>
    <row r="1053" spans="1:7" ht="22.5">
      <c r="A1053" s="50"/>
      <c r="B1053" s="235" t="s">
        <v>777</v>
      </c>
      <c r="C1053" s="272" t="s">
        <v>205</v>
      </c>
      <c r="D1053" s="1" t="s">
        <v>194</v>
      </c>
      <c r="E1053" s="303">
        <v>2</v>
      </c>
      <c r="F1053" s="209">
        <f>VLOOKUP(B1053,hidro!A:AR,41,FALSE)</f>
        <v>81.749999999999986</v>
      </c>
      <c r="G1053" s="297">
        <f t="shared" si="49"/>
        <v>163.5</v>
      </c>
    </row>
    <row r="1054" spans="1:7">
      <c r="A1054" s="50"/>
      <c r="B1054" s="235" t="s">
        <v>18</v>
      </c>
      <c r="C1054" s="272" t="s">
        <v>21</v>
      </c>
      <c r="D1054" s="1" t="s">
        <v>194</v>
      </c>
      <c r="E1054" s="303">
        <v>1</v>
      </c>
      <c r="F1054" s="297">
        <f>VLOOKUP(B1054,[1]Plan1!A$1:D$65536,4,FALSE)</f>
        <v>24.94</v>
      </c>
      <c r="G1054" s="297">
        <f t="shared" si="49"/>
        <v>24.94</v>
      </c>
    </row>
    <row r="1055" spans="1:7">
      <c r="A1055" s="225"/>
      <c r="B1055" s="235" t="s">
        <v>206</v>
      </c>
      <c r="C1055" s="272" t="s">
        <v>22</v>
      </c>
      <c r="D1055" s="1" t="s">
        <v>194</v>
      </c>
      <c r="E1055" s="303">
        <v>3</v>
      </c>
      <c r="F1055" s="297">
        <f>VLOOKUP(B1055,[1]Plan1!A$1:D$65536,4,FALSE)</f>
        <v>6.4</v>
      </c>
      <c r="G1055" s="297">
        <f t="shared" si="49"/>
        <v>19.2</v>
      </c>
    </row>
    <row r="1056" spans="1:7">
      <c r="A1056" s="225"/>
      <c r="B1056" s="235" t="s">
        <v>207</v>
      </c>
      <c r="C1056" s="272" t="s">
        <v>23</v>
      </c>
      <c r="D1056" s="1" t="s">
        <v>194</v>
      </c>
      <c r="E1056" s="303">
        <v>1</v>
      </c>
      <c r="F1056" s="297">
        <f>VLOOKUP(B1056,[1]Plan1!A$1:D$65536,4,FALSE)</f>
        <v>11.04</v>
      </c>
      <c r="G1056" s="297">
        <f t="shared" si="49"/>
        <v>11.04</v>
      </c>
    </row>
    <row r="1057" spans="1:7">
      <c r="A1057" s="225"/>
      <c r="B1057" s="235" t="s">
        <v>19</v>
      </c>
      <c r="C1057" s="272" t="s">
        <v>24</v>
      </c>
      <c r="D1057" s="1" t="s">
        <v>194</v>
      </c>
      <c r="E1057" s="303">
        <v>1</v>
      </c>
      <c r="F1057" s="297">
        <f>VLOOKUP(B1057,[1]Plan1!A$1:D$65536,4,FALSE)</f>
        <v>12.68</v>
      </c>
      <c r="G1057" s="297">
        <f t="shared" si="49"/>
        <v>12.68</v>
      </c>
    </row>
    <row r="1058" spans="1:7">
      <c r="A1058" s="225"/>
      <c r="B1058" s="235" t="s">
        <v>778</v>
      </c>
      <c r="C1058" s="272" t="s">
        <v>208</v>
      </c>
      <c r="D1058" s="1" t="s">
        <v>194</v>
      </c>
      <c r="E1058" s="303">
        <v>1</v>
      </c>
      <c r="F1058" s="208">
        <f>TRUNC(1.14*1.2031,2)</f>
        <v>1.37</v>
      </c>
      <c r="G1058" s="297">
        <f t="shared" si="49"/>
        <v>1.37</v>
      </c>
    </row>
    <row r="1059" spans="1:7">
      <c r="A1059" s="225"/>
      <c r="B1059" s="235" t="s">
        <v>778</v>
      </c>
      <c r="C1059" s="272" t="s">
        <v>209</v>
      </c>
      <c r="D1059" s="1" t="s">
        <v>194</v>
      </c>
      <c r="E1059" s="303">
        <v>8</v>
      </c>
      <c r="F1059" s="208">
        <f>TRUNC(19.44*1.2031,2)</f>
        <v>23.38</v>
      </c>
      <c r="G1059" s="297">
        <f t="shared" si="49"/>
        <v>187.04</v>
      </c>
    </row>
    <row r="1060" spans="1:7">
      <c r="A1060" s="225"/>
      <c r="B1060" s="235" t="s">
        <v>20</v>
      </c>
      <c r="C1060" s="272" t="s">
        <v>25</v>
      </c>
      <c r="D1060" s="1" t="s">
        <v>194</v>
      </c>
      <c r="E1060" s="303">
        <v>10</v>
      </c>
      <c r="F1060" s="297">
        <f>VLOOKUP(B1060,[1]Plan1!A$1:D$65536,4,FALSE)</f>
        <v>5.77</v>
      </c>
      <c r="G1060" s="297">
        <f t="shared" si="49"/>
        <v>57.7</v>
      </c>
    </row>
    <row r="1061" spans="1:7">
      <c r="A1061" s="225"/>
      <c r="B1061" s="235" t="s">
        <v>210</v>
      </c>
      <c r="C1061" s="272" t="s">
        <v>26</v>
      </c>
      <c r="D1061" s="1" t="s">
        <v>194</v>
      </c>
      <c r="E1061" s="303">
        <v>3</v>
      </c>
      <c r="F1061" s="297">
        <f>VLOOKUP(B1061,[1]Plan1!A$1:D$65536,4,FALSE)</f>
        <v>2.19</v>
      </c>
      <c r="G1061" s="297">
        <f t="shared" si="49"/>
        <v>6.57</v>
      </c>
    </row>
    <row r="1062" spans="1:7">
      <c r="A1062" s="225"/>
      <c r="B1062" s="235" t="s">
        <v>211</v>
      </c>
      <c r="C1062" s="272" t="s">
        <v>27</v>
      </c>
      <c r="D1062" s="1" t="s">
        <v>194</v>
      </c>
      <c r="E1062" s="303">
        <v>1</v>
      </c>
      <c r="F1062" s="297">
        <f>VLOOKUP(B1062,[1]Plan1!A$1:D$65536,4,FALSE)</f>
        <v>3.63</v>
      </c>
      <c r="G1062" s="297">
        <f t="shared" si="49"/>
        <v>3.63</v>
      </c>
    </row>
    <row r="1063" spans="1:7" ht="12.75" customHeight="1">
      <c r="A1063" s="51"/>
      <c r="B1063" s="235" t="s">
        <v>212</v>
      </c>
      <c r="C1063" s="272" t="s">
        <v>28</v>
      </c>
      <c r="D1063" s="1" t="s">
        <v>194</v>
      </c>
      <c r="E1063" s="303">
        <v>1</v>
      </c>
      <c r="F1063" s="297">
        <f>VLOOKUP(B1063,[1]Plan1!A$1:D$65536,4,FALSE)</f>
        <v>5.97</v>
      </c>
      <c r="G1063" s="297">
        <f t="shared" si="49"/>
        <v>5.97</v>
      </c>
    </row>
    <row r="1064" spans="1:7">
      <c r="A1064" s="50"/>
      <c r="B1064" s="235" t="s">
        <v>213</v>
      </c>
      <c r="C1064" s="272" t="s">
        <v>29</v>
      </c>
      <c r="D1064" s="1" t="s">
        <v>194</v>
      </c>
      <c r="E1064" s="303">
        <v>6</v>
      </c>
      <c r="F1064" s="297">
        <f>VLOOKUP(B1064,[1]Plan1!A$1:D$65536,4,FALSE)</f>
        <v>3.32</v>
      </c>
      <c r="G1064" s="297">
        <f t="shared" si="49"/>
        <v>19.920000000000002</v>
      </c>
    </row>
    <row r="1065" spans="1:7">
      <c r="A1065" s="50"/>
      <c r="B1065" s="235" t="s">
        <v>214</v>
      </c>
      <c r="C1065" s="272" t="s">
        <v>30</v>
      </c>
      <c r="D1065" s="1" t="s">
        <v>194</v>
      </c>
      <c r="E1065" s="303">
        <v>4</v>
      </c>
      <c r="F1065" s="297">
        <f>VLOOKUP(B1065,[1]Plan1!A$1:D$65536,4,FALSE)</f>
        <v>8.77</v>
      </c>
      <c r="G1065" s="297">
        <f t="shared" si="49"/>
        <v>35.08</v>
      </c>
    </row>
    <row r="1066" spans="1:7">
      <c r="A1066" s="50"/>
      <c r="B1066" s="235" t="s">
        <v>215</v>
      </c>
      <c r="C1066" s="272" t="s">
        <v>31</v>
      </c>
      <c r="D1066" s="1" t="s">
        <v>194</v>
      </c>
      <c r="E1066" s="303">
        <v>1</v>
      </c>
      <c r="F1066" s="297">
        <f>VLOOKUP(B1066,[1]Plan1!A$1:D$65536,4,FALSE)</f>
        <v>5.47</v>
      </c>
      <c r="G1066" s="297">
        <f t="shared" si="49"/>
        <v>5.47</v>
      </c>
    </row>
    <row r="1067" spans="1:7" ht="12.75" customHeight="1">
      <c r="A1067" s="50"/>
      <c r="B1067" s="235" t="s">
        <v>227</v>
      </c>
      <c r="C1067" s="272" t="s">
        <v>32</v>
      </c>
      <c r="D1067" s="1" t="s">
        <v>194</v>
      </c>
      <c r="E1067" s="303">
        <v>1</v>
      </c>
      <c r="F1067" s="297">
        <f>VLOOKUP(B1067,[1]Plan1!A$1:D$65536,4,FALSE)</f>
        <v>14.83</v>
      </c>
      <c r="G1067" s="297">
        <f t="shared" si="49"/>
        <v>14.83</v>
      </c>
    </row>
    <row r="1068" spans="1:7" ht="11.25" customHeight="1">
      <c r="A1068" s="50"/>
      <c r="B1068" s="235" t="s">
        <v>778</v>
      </c>
      <c r="C1068" s="272" t="s">
        <v>228</v>
      </c>
      <c r="D1068" s="1" t="s">
        <v>194</v>
      </c>
      <c r="E1068" s="303">
        <v>4</v>
      </c>
      <c r="F1068" s="208">
        <f>TRUNC(0.68*1.2031,2)</f>
        <v>0.81</v>
      </c>
      <c r="G1068" s="297">
        <f t="shared" si="49"/>
        <v>3.24</v>
      </c>
    </row>
    <row r="1069" spans="1:7" ht="12.75" customHeight="1">
      <c r="A1069" s="50"/>
      <c r="B1069" s="235" t="s">
        <v>229</v>
      </c>
      <c r="C1069" s="272" t="s">
        <v>33</v>
      </c>
      <c r="D1069" s="1" t="s">
        <v>194</v>
      </c>
      <c r="E1069" s="303">
        <v>3</v>
      </c>
      <c r="F1069" s="297">
        <f>VLOOKUP(B1069,[1]Plan1!A$1:D$65536,4,FALSE)</f>
        <v>2.35</v>
      </c>
      <c r="G1069" s="297">
        <f t="shared" si="49"/>
        <v>7.05</v>
      </c>
    </row>
    <row r="1070" spans="1:7" ht="11.25" customHeight="1">
      <c r="A1070" s="50"/>
      <c r="B1070" s="235" t="s">
        <v>555</v>
      </c>
      <c r="C1070" s="272" t="s">
        <v>556</v>
      </c>
      <c r="D1070" s="1" t="s">
        <v>194</v>
      </c>
      <c r="E1070" s="303">
        <v>3</v>
      </c>
      <c r="F1070" s="297">
        <f>VLOOKUP(B1070,[1]Plan1!A$1:D$65536,4,FALSE)</f>
        <v>3.8</v>
      </c>
      <c r="G1070" s="297">
        <f>TRUNC(E1070*F1070,2)</f>
        <v>11.4</v>
      </c>
    </row>
    <row r="1071" spans="1:7" ht="12.75" customHeight="1">
      <c r="A1071" s="50"/>
      <c r="B1071" s="235" t="s">
        <v>558</v>
      </c>
      <c r="C1071" s="272" t="s">
        <v>557</v>
      </c>
      <c r="D1071" s="1" t="s">
        <v>194</v>
      </c>
      <c r="E1071" s="303">
        <v>2</v>
      </c>
      <c r="F1071" s="297">
        <f>VLOOKUP(B1071,[1]Plan1!A$1:D$65536,4,FALSE)</f>
        <v>6.95</v>
      </c>
      <c r="G1071" s="297">
        <f>TRUNC(E1071*F1071,2)</f>
        <v>13.9</v>
      </c>
    </row>
    <row r="1072" spans="1:7" ht="12.75" customHeight="1">
      <c r="A1072" s="50" t="s">
        <v>352</v>
      </c>
      <c r="B1072" s="235"/>
      <c r="C1072" s="256" t="s">
        <v>353</v>
      </c>
      <c r="D1072" s="1"/>
      <c r="E1072" s="296"/>
      <c r="F1072" s="296"/>
      <c r="G1072" s="296">
        <f>SUM(G1010:G1071)</f>
        <v>14132.140000000001</v>
      </c>
    </row>
    <row r="1073" spans="1:7" ht="12.75" customHeight="1">
      <c r="A1073" s="50"/>
      <c r="B1073" s="235"/>
      <c r="C1073" s="256"/>
      <c r="D1073" s="1"/>
      <c r="E1073" s="296"/>
      <c r="F1073" s="296"/>
      <c r="G1073" s="296"/>
    </row>
    <row r="1074" spans="1:7" ht="12.75" customHeight="1">
      <c r="A1074" s="50">
        <v>13</v>
      </c>
      <c r="B1074" s="233">
        <v>13</v>
      </c>
      <c r="C1074" s="254" t="s">
        <v>561</v>
      </c>
      <c r="D1074" s="170"/>
      <c r="E1074" s="325"/>
      <c r="F1074" s="325"/>
      <c r="G1074" s="325"/>
    </row>
    <row r="1075" spans="1:7" ht="12.75" customHeight="1">
      <c r="A1075" s="50"/>
      <c r="B1075" s="234"/>
      <c r="C1075" s="263" t="s">
        <v>160</v>
      </c>
      <c r="D1075" s="9"/>
      <c r="E1075" s="304"/>
      <c r="F1075" s="312"/>
      <c r="G1075" s="326"/>
    </row>
    <row r="1076" spans="1:7">
      <c r="A1076" s="50"/>
      <c r="B1076" s="244" t="s">
        <v>466</v>
      </c>
      <c r="C1076" s="252" t="s">
        <v>161</v>
      </c>
      <c r="D1076" s="9" t="s">
        <v>246</v>
      </c>
      <c r="E1076" s="304">
        <v>16334</v>
      </c>
      <c r="F1076" s="93">
        <v>15.690000000000001</v>
      </c>
      <c r="G1076" s="310">
        <f t="shared" ref="G1076:G1089" si="50">TRUNC(E1076*F1076,2)</f>
        <v>256280.46</v>
      </c>
    </row>
    <row r="1077" spans="1:7">
      <c r="A1077" s="50"/>
      <c r="B1077" s="234"/>
      <c r="C1077" s="263" t="s">
        <v>162</v>
      </c>
      <c r="D1077" s="9"/>
      <c r="E1077" s="304"/>
      <c r="F1077" s="312"/>
      <c r="G1077" s="310"/>
    </row>
    <row r="1078" spans="1:7" ht="11.25" customHeight="1">
      <c r="A1078" s="50"/>
      <c r="B1078" s="234"/>
      <c r="C1078" s="252" t="s">
        <v>163</v>
      </c>
      <c r="D1078" s="9" t="s">
        <v>185</v>
      </c>
      <c r="E1078" s="304">
        <v>513.6</v>
      </c>
      <c r="F1078" s="312">
        <v>2939.29</v>
      </c>
      <c r="G1078" s="310">
        <f t="shared" si="50"/>
        <v>1509619.34</v>
      </c>
    </row>
    <row r="1079" spans="1:7" ht="22.5">
      <c r="A1079" s="50"/>
      <c r="B1079" s="234"/>
      <c r="C1079" s="252" t="s">
        <v>164</v>
      </c>
      <c r="D1079" s="9" t="s">
        <v>185</v>
      </c>
      <c r="E1079" s="304">
        <v>305.51400000000001</v>
      </c>
      <c r="F1079" s="312">
        <v>521.41999999999996</v>
      </c>
      <c r="G1079" s="310">
        <f t="shared" si="50"/>
        <v>159301.1</v>
      </c>
    </row>
    <row r="1080" spans="1:7" ht="22.5">
      <c r="A1080" s="50"/>
      <c r="B1080" s="234"/>
      <c r="C1080" s="252" t="s">
        <v>165</v>
      </c>
      <c r="D1080" s="9" t="s">
        <v>185</v>
      </c>
      <c r="E1080" s="304">
        <v>12.3995</v>
      </c>
      <c r="F1080" s="312">
        <v>285.98</v>
      </c>
      <c r="G1080" s="310">
        <f t="shared" si="50"/>
        <v>3546</v>
      </c>
    </row>
    <row r="1081" spans="1:7" ht="22.5">
      <c r="A1081" s="50"/>
      <c r="B1081" s="234"/>
      <c r="C1081" s="252" t="s">
        <v>166</v>
      </c>
      <c r="D1081" s="9" t="s">
        <v>185</v>
      </c>
      <c r="E1081" s="304">
        <v>21.84</v>
      </c>
      <c r="F1081" s="312">
        <v>253.47</v>
      </c>
      <c r="G1081" s="310">
        <f t="shared" si="50"/>
        <v>5535.78</v>
      </c>
    </row>
    <row r="1082" spans="1:7" ht="22.5">
      <c r="A1082" s="50"/>
      <c r="B1082" s="234"/>
      <c r="C1082" s="252" t="s">
        <v>167</v>
      </c>
      <c r="D1082" s="9" t="s">
        <v>194</v>
      </c>
      <c r="E1082" s="304">
        <v>128</v>
      </c>
      <c r="F1082" s="312">
        <v>185.24</v>
      </c>
      <c r="G1082" s="310">
        <f t="shared" si="50"/>
        <v>23710.720000000001</v>
      </c>
    </row>
    <row r="1083" spans="1:7" ht="22.5">
      <c r="A1083" s="50"/>
      <c r="B1083" s="234"/>
      <c r="C1083" s="252" t="s">
        <v>168</v>
      </c>
      <c r="D1083" s="9" t="s">
        <v>194</v>
      </c>
      <c r="E1083" s="304">
        <v>20</v>
      </c>
      <c r="F1083" s="312">
        <v>65.56</v>
      </c>
      <c r="G1083" s="310">
        <f t="shared" si="50"/>
        <v>1311.2</v>
      </c>
    </row>
    <row r="1084" spans="1:7" ht="22.5">
      <c r="A1084" s="50"/>
      <c r="B1084" s="234"/>
      <c r="C1084" s="252" t="s">
        <v>169</v>
      </c>
      <c r="D1084" s="9" t="s">
        <v>189</v>
      </c>
      <c r="E1084" s="304">
        <v>121.6</v>
      </c>
      <c r="F1084" s="312">
        <v>15.67</v>
      </c>
      <c r="G1084" s="310">
        <f t="shared" si="50"/>
        <v>1905.47</v>
      </c>
    </row>
    <row r="1085" spans="1:7" ht="22.5">
      <c r="A1085" s="50"/>
      <c r="B1085" s="234"/>
      <c r="C1085" s="252" t="s">
        <v>170</v>
      </c>
      <c r="D1085" s="9" t="s">
        <v>185</v>
      </c>
      <c r="E1085" s="304">
        <v>278.13632000000001</v>
      </c>
      <c r="F1085" s="312">
        <v>2262.9699999999998</v>
      </c>
      <c r="G1085" s="310">
        <f t="shared" si="50"/>
        <v>629414.14</v>
      </c>
    </row>
    <row r="1086" spans="1:7">
      <c r="A1086" s="50"/>
      <c r="B1086" s="234"/>
      <c r="C1086" s="263" t="s">
        <v>171</v>
      </c>
      <c r="D1086" s="9"/>
      <c r="E1086" s="304"/>
      <c r="F1086" s="312"/>
      <c r="G1086" s="310"/>
    </row>
    <row r="1087" spans="1:7">
      <c r="A1087" s="50"/>
      <c r="B1087" s="245" t="s">
        <v>172</v>
      </c>
      <c r="C1087" s="252" t="s">
        <v>323</v>
      </c>
      <c r="D1087" s="9" t="s">
        <v>185</v>
      </c>
      <c r="E1087" s="304">
        <v>274.51</v>
      </c>
      <c r="F1087" s="297">
        <f>VLOOKUP(B1087,[1]Plan1!A$1:D$65536,4,FALSE)</f>
        <v>17.97</v>
      </c>
      <c r="G1087" s="310">
        <f t="shared" si="50"/>
        <v>4932.9399999999996</v>
      </c>
    </row>
    <row r="1088" spans="1:7" ht="22.5">
      <c r="A1088" s="50"/>
      <c r="B1088" s="235">
        <v>4071</v>
      </c>
      <c r="C1088" s="252" t="s">
        <v>173</v>
      </c>
      <c r="D1088" s="9" t="s">
        <v>185</v>
      </c>
      <c r="E1088" s="304">
        <v>225.23</v>
      </c>
      <c r="F1088" s="297">
        <f>TRUNC(73.32*(456.49/400.353),2)</f>
        <v>83.6</v>
      </c>
      <c r="G1088" s="310">
        <f t="shared" si="50"/>
        <v>18829.22</v>
      </c>
    </row>
    <row r="1089" spans="1:7">
      <c r="A1089" s="50"/>
      <c r="B1089" s="244">
        <v>3102</v>
      </c>
      <c r="C1089" s="252" t="s">
        <v>174</v>
      </c>
      <c r="D1089" s="9" t="s">
        <v>185</v>
      </c>
      <c r="E1089" s="304">
        <v>49.28</v>
      </c>
      <c r="F1089" s="297">
        <f>TRUNC(87.62*(456.49/400.353),2)</f>
        <v>99.9</v>
      </c>
      <c r="G1089" s="310">
        <f t="shared" si="50"/>
        <v>4923.07</v>
      </c>
    </row>
    <row r="1090" spans="1:7">
      <c r="A1090" s="50"/>
      <c r="B1090" s="246"/>
      <c r="C1090" s="263" t="s">
        <v>175</v>
      </c>
      <c r="D1090" s="47"/>
      <c r="E1090" s="304"/>
      <c r="F1090" s="312"/>
      <c r="G1090" s="310"/>
    </row>
    <row r="1091" spans="1:7" ht="202.5">
      <c r="A1091" s="50"/>
      <c r="B1091" s="246"/>
      <c r="C1091" s="280" t="s">
        <v>564</v>
      </c>
      <c r="D1091" s="47" t="s">
        <v>194</v>
      </c>
      <c r="E1091" s="304">
        <v>6</v>
      </c>
      <c r="F1091" s="312">
        <v>17060.66</v>
      </c>
      <c r="G1091" s="310">
        <f t="shared" ref="G1091:G1109" si="51">TRUNC(E1091*F1091,2)</f>
        <v>102363.96</v>
      </c>
    </row>
    <row r="1092" spans="1:7" ht="202.5">
      <c r="A1092" s="50"/>
      <c r="B1092" s="246"/>
      <c r="C1092" s="253" t="s">
        <v>565</v>
      </c>
      <c r="D1092" s="47" t="s">
        <v>194</v>
      </c>
      <c r="E1092" s="304">
        <v>2</v>
      </c>
      <c r="F1092" s="312">
        <v>17047.66</v>
      </c>
      <c r="G1092" s="310">
        <f t="shared" si="51"/>
        <v>34095.32</v>
      </c>
    </row>
    <row r="1093" spans="1:7">
      <c r="A1093" s="53"/>
      <c r="B1093" s="246"/>
      <c r="C1093" s="252" t="s">
        <v>502</v>
      </c>
      <c r="D1093" s="47" t="s">
        <v>194</v>
      </c>
      <c r="E1093" s="304">
        <v>2</v>
      </c>
      <c r="F1093" s="312">
        <v>1001.2</v>
      </c>
      <c r="G1093" s="310">
        <f t="shared" si="51"/>
        <v>2002.4</v>
      </c>
    </row>
    <row r="1094" spans="1:7">
      <c r="A1094" s="53"/>
      <c r="B1094" s="246"/>
      <c r="C1094" s="252" t="s">
        <v>176</v>
      </c>
      <c r="D1094" s="47" t="s">
        <v>194</v>
      </c>
      <c r="E1094" s="304">
        <v>2</v>
      </c>
      <c r="F1094" s="312">
        <v>168.98</v>
      </c>
      <c r="G1094" s="310">
        <f t="shared" si="51"/>
        <v>337.96</v>
      </c>
    </row>
    <row r="1095" spans="1:7">
      <c r="A1095" s="53"/>
      <c r="B1095" s="246"/>
      <c r="C1095" s="252" t="s">
        <v>177</v>
      </c>
      <c r="D1095" s="47" t="s">
        <v>194</v>
      </c>
      <c r="E1095" s="304">
        <v>2</v>
      </c>
      <c r="F1095" s="312">
        <v>298.98</v>
      </c>
      <c r="G1095" s="310">
        <f t="shared" si="51"/>
        <v>597.96</v>
      </c>
    </row>
    <row r="1096" spans="1:7" ht="22.5">
      <c r="A1096" s="53"/>
      <c r="B1096" s="246"/>
      <c r="C1096" s="252" t="s">
        <v>178</v>
      </c>
      <c r="D1096" s="47" t="s">
        <v>194</v>
      </c>
      <c r="E1096" s="304">
        <v>5</v>
      </c>
      <c r="F1096" s="312">
        <v>231.1</v>
      </c>
      <c r="G1096" s="310">
        <f t="shared" si="51"/>
        <v>1155.5</v>
      </c>
    </row>
    <row r="1097" spans="1:7" ht="22.5">
      <c r="A1097" s="53"/>
      <c r="B1097" s="246"/>
      <c r="C1097" s="252" t="s">
        <v>179</v>
      </c>
      <c r="D1097" s="47" t="s">
        <v>252</v>
      </c>
      <c r="E1097" s="304">
        <v>2</v>
      </c>
      <c r="F1097" s="312">
        <v>728.73</v>
      </c>
      <c r="G1097" s="310">
        <f t="shared" si="51"/>
        <v>1457.46</v>
      </c>
    </row>
    <row r="1098" spans="1:7" ht="22.5">
      <c r="A1098" s="53"/>
      <c r="B1098" s="246"/>
      <c r="C1098" s="252" t="s">
        <v>179</v>
      </c>
      <c r="D1098" s="47" t="s">
        <v>252</v>
      </c>
      <c r="E1098" s="304">
        <v>4</v>
      </c>
      <c r="F1098" s="312">
        <v>483.5</v>
      </c>
      <c r="G1098" s="310">
        <f t="shared" si="51"/>
        <v>1934</v>
      </c>
    </row>
    <row r="1099" spans="1:7" ht="22.5">
      <c r="A1099" s="53"/>
      <c r="B1099" s="234"/>
      <c r="C1099" s="252" t="s">
        <v>180</v>
      </c>
      <c r="D1099" s="9" t="s">
        <v>194</v>
      </c>
      <c r="E1099" s="304">
        <v>2</v>
      </c>
      <c r="F1099" s="312">
        <v>980.69</v>
      </c>
      <c r="G1099" s="310">
        <f t="shared" si="51"/>
        <v>1961.38</v>
      </c>
    </row>
    <row r="1100" spans="1:7" ht="22.5">
      <c r="A1100" s="53"/>
      <c r="B1100" s="234"/>
      <c r="C1100" s="252" t="s">
        <v>181</v>
      </c>
      <c r="D1100" s="9" t="s">
        <v>194</v>
      </c>
      <c r="E1100" s="304">
        <v>2</v>
      </c>
      <c r="F1100" s="312">
        <v>207.98</v>
      </c>
      <c r="G1100" s="310">
        <f t="shared" si="51"/>
        <v>415.96</v>
      </c>
    </row>
    <row r="1101" spans="1:7">
      <c r="A1101" s="53"/>
      <c r="B1101" s="235"/>
      <c r="C1101" s="252" t="s">
        <v>324</v>
      </c>
      <c r="D1101" s="9" t="s">
        <v>189</v>
      </c>
      <c r="E1101" s="304">
        <v>32</v>
      </c>
      <c r="F1101" s="312">
        <v>130</v>
      </c>
      <c r="G1101" s="310">
        <f t="shared" si="51"/>
        <v>4160</v>
      </c>
    </row>
    <row r="1102" spans="1:7" ht="22.5">
      <c r="A1102" s="53"/>
      <c r="B1102" s="234"/>
      <c r="C1102" s="252" t="s">
        <v>182</v>
      </c>
      <c r="D1102" s="9" t="s">
        <v>252</v>
      </c>
      <c r="E1102" s="304">
        <v>40</v>
      </c>
      <c r="F1102" s="312">
        <v>4550</v>
      </c>
      <c r="G1102" s="310">
        <f t="shared" si="51"/>
        <v>182000</v>
      </c>
    </row>
    <row r="1103" spans="1:7" ht="22.5">
      <c r="A1103" s="53"/>
      <c r="B1103" s="234"/>
      <c r="C1103" s="252" t="s">
        <v>489</v>
      </c>
      <c r="D1103" s="9" t="s">
        <v>194</v>
      </c>
      <c r="E1103" s="304">
        <v>10</v>
      </c>
      <c r="F1103" s="312">
        <v>370.34</v>
      </c>
      <c r="G1103" s="310">
        <f t="shared" si="51"/>
        <v>3703.4</v>
      </c>
    </row>
    <row r="1104" spans="1:7">
      <c r="A1104" s="53"/>
      <c r="B1104" s="235"/>
      <c r="C1104" s="253" t="s">
        <v>318</v>
      </c>
      <c r="D1104" s="1" t="s">
        <v>194</v>
      </c>
      <c r="E1104" s="304">
        <v>2</v>
      </c>
      <c r="F1104" s="312">
        <v>25225.200000000001</v>
      </c>
      <c r="G1104" s="310">
        <f t="shared" si="51"/>
        <v>50450.400000000001</v>
      </c>
    </row>
    <row r="1105" spans="1:7">
      <c r="A1105" s="53"/>
      <c r="B1105" s="235"/>
      <c r="C1105" s="253" t="s">
        <v>319</v>
      </c>
      <c r="D1105" s="1" t="s">
        <v>194</v>
      </c>
      <c r="E1105" s="304">
        <v>1</v>
      </c>
      <c r="F1105" s="312">
        <v>33848.1</v>
      </c>
      <c r="G1105" s="310">
        <f t="shared" si="51"/>
        <v>33848.1</v>
      </c>
    </row>
    <row r="1106" spans="1:7">
      <c r="A1106" s="53"/>
      <c r="B1106" s="235"/>
      <c r="C1106" s="253" t="s">
        <v>320</v>
      </c>
      <c r="D1106" s="1" t="s">
        <v>194</v>
      </c>
      <c r="E1106" s="304">
        <v>24</v>
      </c>
      <c r="F1106" s="312">
        <f>150</f>
        <v>150</v>
      </c>
      <c r="G1106" s="310">
        <f t="shared" si="51"/>
        <v>3600</v>
      </c>
    </row>
    <row r="1107" spans="1:7">
      <c r="A1107" s="53"/>
      <c r="B1107" s="235"/>
      <c r="C1107" s="253" t="s">
        <v>321</v>
      </c>
      <c r="D1107" s="1" t="s">
        <v>194</v>
      </c>
      <c r="E1107" s="304">
        <v>6</v>
      </c>
      <c r="F1107" s="312">
        <f>200</f>
        <v>200</v>
      </c>
      <c r="G1107" s="310">
        <f t="shared" si="51"/>
        <v>1200</v>
      </c>
    </row>
    <row r="1108" spans="1:7" ht="22.5">
      <c r="A1108" s="53"/>
      <c r="B1108" s="235"/>
      <c r="C1108" s="253" t="s">
        <v>477</v>
      </c>
      <c r="D1108" s="1" t="s">
        <v>194</v>
      </c>
      <c r="E1108" s="304">
        <v>1</v>
      </c>
      <c r="F1108" s="312">
        <v>223.74</v>
      </c>
      <c r="G1108" s="310">
        <f t="shared" si="51"/>
        <v>223.74</v>
      </c>
    </row>
    <row r="1109" spans="1:7" ht="22.5">
      <c r="A1109" s="53"/>
      <c r="B1109" s="241"/>
      <c r="C1109" s="253" t="s">
        <v>322</v>
      </c>
      <c r="D1109" s="48" t="s">
        <v>194</v>
      </c>
      <c r="E1109" s="304">
        <v>5</v>
      </c>
      <c r="F1109" s="49">
        <v>315.18</v>
      </c>
      <c r="G1109" s="310">
        <f t="shared" si="51"/>
        <v>1575.9</v>
      </c>
    </row>
    <row r="1110" spans="1:7">
      <c r="A1110" s="225" t="s">
        <v>1359</v>
      </c>
      <c r="B1110" s="235"/>
      <c r="C1110" s="256" t="s">
        <v>634</v>
      </c>
      <c r="D1110" s="1"/>
      <c r="E1110" s="304"/>
      <c r="F1110" s="327"/>
      <c r="G1110" s="328">
        <f>SUM(G1076:G1109)</f>
        <v>3046392.8799999994</v>
      </c>
    </row>
    <row r="1111" spans="1:7">
      <c r="A1111" s="53"/>
      <c r="B1111" s="235"/>
      <c r="C1111" s="276"/>
      <c r="D1111" s="1"/>
      <c r="E1111" s="304"/>
      <c r="F1111" s="327"/>
      <c r="G1111" s="328"/>
    </row>
    <row r="1112" spans="1:7">
      <c r="A1112" s="53">
        <v>14</v>
      </c>
      <c r="B1112" s="233">
        <v>14</v>
      </c>
      <c r="C1112" s="254" t="s">
        <v>591</v>
      </c>
      <c r="D1112" s="170"/>
      <c r="E1112" s="178"/>
      <c r="F1112" s="178"/>
      <c r="G1112" s="178"/>
    </row>
    <row r="1113" spans="1:7" ht="90">
      <c r="A1113" s="53"/>
      <c r="B1113" s="235"/>
      <c r="C1113" s="258" t="s">
        <v>1320</v>
      </c>
      <c r="D1113" s="1" t="s">
        <v>194</v>
      </c>
      <c r="E1113" s="208">
        <v>2</v>
      </c>
      <c r="F1113" s="209">
        <v>12000</v>
      </c>
      <c r="G1113" s="297">
        <f t="shared" ref="G1113:G1127" si="52">TRUNC(E1113*F1113,2)</f>
        <v>24000</v>
      </c>
    </row>
    <row r="1114" spans="1:7">
      <c r="A1114" s="53"/>
      <c r="B1114" s="235"/>
      <c r="C1114" s="253" t="s">
        <v>544</v>
      </c>
      <c r="D1114" s="1" t="s">
        <v>246</v>
      </c>
      <c r="E1114" s="208">
        <v>200</v>
      </c>
      <c r="F1114" s="209">
        <v>25</v>
      </c>
      <c r="G1114" s="297">
        <f t="shared" si="52"/>
        <v>5000</v>
      </c>
    </row>
    <row r="1115" spans="1:7">
      <c r="A1115" s="53"/>
      <c r="B1115" s="235"/>
      <c r="C1115" s="253" t="s">
        <v>332</v>
      </c>
      <c r="D1115" s="1" t="s">
        <v>189</v>
      </c>
      <c r="E1115" s="208">
        <v>12</v>
      </c>
      <c r="F1115" s="209">
        <v>370</v>
      </c>
      <c r="G1115" s="297">
        <f t="shared" si="52"/>
        <v>4440</v>
      </c>
    </row>
    <row r="1116" spans="1:7">
      <c r="A1116" s="53"/>
      <c r="B1116" s="235"/>
      <c r="C1116" s="253" t="s">
        <v>311</v>
      </c>
      <c r="D1116" s="1" t="s">
        <v>545</v>
      </c>
      <c r="E1116" s="208">
        <v>4</v>
      </c>
      <c r="F1116" s="209">
        <v>300</v>
      </c>
      <c r="G1116" s="297">
        <f t="shared" si="52"/>
        <v>1200</v>
      </c>
    </row>
    <row r="1117" spans="1:7" ht="22.5">
      <c r="A1117" s="53"/>
      <c r="B1117" s="235"/>
      <c r="C1117" s="253" t="s">
        <v>546</v>
      </c>
      <c r="D1117" s="1" t="s">
        <v>251</v>
      </c>
      <c r="E1117" s="208">
        <v>2</v>
      </c>
      <c r="F1117" s="209">
        <v>1500</v>
      </c>
      <c r="G1117" s="297">
        <f t="shared" si="52"/>
        <v>3000</v>
      </c>
    </row>
    <row r="1118" spans="1:7">
      <c r="A1118" s="53"/>
      <c r="B1118" s="235"/>
      <c r="C1118" s="253" t="s">
        <v>547</v>
      </c>
      <c r="D1118" s="1" t="s">
        <v>251</v>
      </c>
      <c r="E1118" s="208">
        <v>8</v>
      </c>
      <c r="F1118" s="209">
        <v>10</v>
      </c>
      <c r="G1118" s="297">
        <f t="shared" si="52"/>
        <v>80</v>
      </c>
    </row>
    <row r="1119" spans="1:7">
      <c r="A1119" s="53"/>
      <c r="B1119" s="235"/>
      <c r="C1119" s="253" t="s">
        <v>548</v>
      </c>
      <c r="D1119" s="1" t="s">
        <v>251</v>
      </c>
      <c r="E1119" s="208">
        <v>12</v>
      </c>
      <c r="F1119" s="209">
        <v>150</v>
      </c>
      <c r="G1119" s="297">
        <f t="shared" si="52"/>
        <v>1800</v>
      </c>
    </row>
    <row r="1120" spans="1:7">
      <c r="A1120" s="53"/>
      <c r="B1120" s="235"/>
      <c r="C1120" s="253" t="s">
        <v>549</v>
      </c>
      <c r="D1120" s="1" t="s">
        <v>251</v>
      </c>
      <c r="E1120" s="208">
        <v>8</v>
      </c>
      <c r="F1120" s="209">
        <v>120</v>
      </c>
      <c r="G1120" s="297">
        <f t="shared" si="52"/>
        <v>960</v>
      </c>
    </row>
    <row r="1121" spans="1:7">
      <c r="A1121" s="53"/>
      <c r="B1121" s="235"/>
      <c r="C1121" s="253" t="s">
        <v>550</v>
      </c>
      <c r="D1121" s="1" t="s">
        <v>251</v>
      </c>
      <c r="E1121" s="208">
        <v>4</v>
      </c>
      <c r="F1121" s="209">
        <v>140</v>
      </c>
      <c r="G1121" s="297">
        <f t="shared" si="52"/>
        <v>560</v>
      </c>
    </row>
    <row r="1122" spans="1:7" ht="22.5">
      <c r="A1122" s="50"/>
      <c r="B1122" s="235"/>
      <c r="C1122" s="253" t="s">
        <v>312</v>
      </c>
      <c r="D1122" s="1" t="s">
        <v>251</v>
      </c>
      <c r="E1122" s="208">
        <v>4</v>
      </c>
      <c r="F1122" s="209">
        <v>120</v>
      </c>
      <c r="G1122" s="297">
        <f t="shared" si="52"/>
        <v>480</v>
      </c>
    </row>
    <row r="1123" spans="1:7">
      <c r="A1123" s="50"/>
      <c r="B1123" s="235"/>
      <c r="C1123" s="253" t="s">
        <v>313</v>
      </c>
      <c r="D1123" s="1" t="s">
        <v>545</v>
      </c>
      <c r="E1123" s="208">
        <v>1</v>
      </c>
      <c r="F1123" s="209">
        <v>600</v>
      </c>
      <c r="G1123" s="297">
        <f t="shared" si="52"/>
        <v>600</v>
      </c>
    </row>
    <row r="1124" spans="1:7">
      <c r="A1124" s="51"/>
      <c r="B1124" s="235"/>
      <c r="C1124" s="253" t="s">
        <v>314</v>
      </c>
      <c r="D1124" s="1" t="s">
        <v>545</v>
      </c>
      <c r="E1124" s="208">
        <v>1</v>
      </c>
      <c r="F1124" s="209">
        <v>500</v>
      </c>
      <c r="G1124" s="297">
        <f t="shared" si="52"/>
        <v>500</v>
      </c>
    </row>
    <row r="1125" spans="1:7">
      <c r="A1125" s="212"/>
      <c r="B1125" s="235"/>
      <c r="C1125" s="253" t="s">
        <v>551</v>
      </c>
      <c r="D1125" s="1" t="s">
        <v>189</v>
      </c>
      <c r="E1125" s="208">
        <v>95</v>
      </c>
      <c r="F1125" s="209">
        <v>100</v>
      </c>
      <c r="G1125" s="297">
        <f t="shared" si="52"/>
        <v>9500</v>
      </c>
    </row>
    <row r="1126" spans="1:7">
      <c r="A1126" s="215"/>
      <c r="B1126" s="235"/>
      <c r="C1126" s="253" t="s">
        <v>315</v>
      </c>
      <c r="D1126" s="1" t="s">
        <v>545</v>
      </c>
      <c r="E1126" s="208">
        <v>1</v>
      </c>
      <c r="F1126" s="209">
        <v>2000</v>
      </c>
      <c r="G1126" s="297">
        <f t="shared" si="52"/>
        <v>2000</v>
      </c>
    </row>
    <row r="1127" spans="1:7">
      <c r="A1127" s="215"/>
      <c r="B1127" s="235"/>
      <c r="C1127" s="258" t="s">
        <v>552</v>
      </c>
      <c r="D1127" s="1" t="s">
        <v>545</v>
      </c>
      <c r="E1127" s="208">
        <v>1</v>
      </c>
      <c r="F1127" s="209">
        <v>8000</v>
      </c>
      <c r="G1127" s="297">
        <f t="shared" si="52"/>
        <v>8000</v>
      </c>
    </row>
    <row r="1128" spans="1:7">
      <c r="A1128" s="216"/>
      <c r="B1128" s="235"/>
      <c r="C1128" s="260" t="s">
        <v>554</v>
      </c>
      <c r="D1128" s="1"/>
      <c r="E1128" s="208"/>
      <c r="F1128" s="209"/>
      <c r="G1128" s="297">
        <f>SUM(G1113:G1127)</f>
        <v>62120</v>
      </c>
    </row>
    <row r="1129" spans="1:7">
      <c r="A1129" s="215"/>
      <c r="B1129" s="235"/>
      <c r="C1129" s="260" t="s">
        <v>553</v>
      </c>
      <c r="D1129" s="1" t="s">
        <v>134</v>
      </c>
      <c r="E1129" s="208">
        <v>20.309999999999999</v>
      </c>
      <c r="F1129" s="209"/>
      <c r="G1129" s="297">
        <f>ROUND(G1128*E1129/100,2)</f>
        <v>12616.57</v>
      </c>
    </row>
    <row r="1130" spans="1:7">
      <c r="A1130" s="225" t="s">
        <v>1358</v>
      </c>
      <c r="B1130" s="235"/>
      <c r="C1130" s="256" t="s">
        <v>914</v>
      </c>
      <c r="D1130" s="2"/>
      <c r="E1130" s="208"/>
      <c r="F1130" s="209"/>
      <c r="G1130" s="315">
        <f>SUM(G1128:G1129)</f>
        <v>74736.570000000007</v>
      </c>
    </row>
    <row r="1131" spans="1:7">
      <c r="A1131" s="215"/>
      <c r="B1131" s="235"/>
      <c r="C1131" s="256"/>
      <c r="D1131" s="2"/>
      <c r="E1131" s="208"/>
      <c r="F1131" s="209"/>
      <c r="G1131" s="315"/>
    </row>
    <row r="1132" spans="1:7">
      <c r="A1132" s="226">
        <v>15</v>
      </c>
      <c r="B1132" s="233">
        <v>15</v>
      </c>
      <c r="C1132" s="254" t="s">
        <v>592</v>
      </c>
      <c r="D1132" s="170"/>
      <c r="E1132" s="178"/>
      <c r="F1132" s="178"/>
      <c r="G1132" s="178"/>
    </row>
    <row r="1133" spans="1:7" ht="11.25" customHeight="1">
      <c r="A1133" s="215"/>
      <c r="B1133" s="235" t="s">
        <v>0</v>
      </c>
      <c r="C1133" s="253" t="s">
        <v>47</v>
      </c>
      <c r="D1133" s="1" t="s">
        <v>194</v>
      </c>
      <c r="E1133" s="304">
        <v>5</v>
      </c>
      <c r="F1133" s="297">
        <f>VLOOKUP(B1133,[1]Plan1!A$1:D$65536,4,FALSE)</f>
        <v>39.39</v>
      </c>
      <c r="G1133" s="310">
        <f t="shared" ref="G1133:G1190" si="53">TRUNC(E1133*F1133,2)</f>
        <v>196.95</v>
      </c>
    </row>
    <row r="1134" spans="1:7">
      <c r="A1134" s="215"/>
      <c r="B1134" s="235" t="s">
        <v>1</v>
      </c>
      <c r="C1134" s="253" t="s">
        <v>48</v>
      </c>
      <c r="D1134" s="1" t="s">
        <v>194</v>
      </c>
      <c r="E1134" s="304">
        <v>1</v>
      </c>
      <c r="F1134" s="297">
        <f>VLOOKUP(B1134,[1]Plan1!A$1:D$65536,4,FALSE)</f>
        <v>31.91</v>
      </c>
      <c r="G1134" s="310">
        <f t="shared" si="53"/>
        <v>31.91</v>
      </c>
    </row>
    <row r="1135" spans="1:7">
      <c r="A1135" s="215"/>
      <c r="B1135" s="235" t="s">
        <v>2</v>
      </c>
      <c r="C1135" s="253" t="s">
        <v>49</v>
      </c>
      <c r="D1135" s="1" t="s">
        <v>189</v>
      </c>
      <c r="E1135" s="304">
        <v>87</v>
      </c>
      <c r="F1135" s="297">
        <f>VLOOKUP(B1135,[1]Plan1!A$1:D$65536,4,FALSE)</f>
        <v>4.04</v>
      </c>
      <c r="G1135" s="310">
        <f t="shared" si="53"/>
        <v>351.48</v>
      </c>
    </row>
    <row r="1136" spans="1:7">
      <c r="A1136" s="50"/>
      <c r="B1136" s="235" t="s">
        <v>3</v>
      </c>
      <c r="C1136" s="253" t="s">
        <v>50</v>
      </c>
      <c r="D1136" s="1" t="s">
        <v>189</v>
      </c>
      <c r="E1136" s="304">
        <v>50</v>
      </c>
      <c r="F1136" s="297">
        <f>VLOOKUP(B1136,[1]Plan1!A$1:D$65536,4,FALSE)</f>
        <v>6.93</v>
      </c>
      <c r="G1136" s="310">
        <f t="shared" si="53"/>
        <v>346.5</v>
      </c>
    </row>
    <row r="1137" spans="1:7" ht="22.5">
      <c r="A1137" s="50"/>
      <c r="B1137" s="235" t="s">
        <v>4</v>
      </c>
      <c r="C1137" s="253" t="s">
        <v>51</v>
      </c>
      <c r="D1137" s="1" t="s">
        <v>194</v>
      </c>
      <c r="E1137" s="304">
        <v>4</v>
      </c>
      <c r="F1137" s="297">
        <f>VLOOKUP(B1137,[1]Plan1!A$1:D$65536,4,FALSE)</f>
        <v>1.74</v>
      </c>
      <c r="G1137" s="310">
        <f t="shared" si="53"/>
        <v>6.96</v>
      </c>
    </row>
    <row r="1138" spans="1:7" ht="22.5">
      <c r="A1138" s="51"/>
      <c r="B1138" s="235" t="s">
        <v>5</v>
      </c>
      <c r="C1138" s="253" t="s">
        <v>52</v>
      </c>
      <c r="D1138" s="1" t="s">
        <v>194</v>
      </c>
      <c r="E1138" s="304">
        <v>8</v>
      </c>
      <c r="F1138" s="297">
        <f>VLOOKUP(B1138,[1]Plan1!A$1:D$65536,4,FALSE)</f>
        <v>2.74</v>
      </c>
      <c r="G1138" s="310">
        <f t="shared" si="53"/>
        <v>21.92</v>
      </c>
    </row>
    <row r="1139" spans="1:7" ht="22.5">
      <c r="A1139" s="50"/>
      <c r="B1139" s="235" t="s">
        <v>6</v>
      </c>
      <c r="C1139" s="253" t="s">
        <v>53</v>
      </c>
      <c r="D1139" s="1" t="s">
        <v>194</v>
      </c>
      <c r="E1139" s="304">
        <v>4</v>
      </c>
      <c r="F1139" s="297">
        <f>VLOOKUP(B1139,[1]Plan1!A$1:D$65536,4,FALSE)</f>
        <v>7.19</v>
      </c>
      <c r="G1139" s="310">
        <f t="shared" si="53"/>
        <v>28.76</v>
      </c>
    </row>
    <row r="1140" spans="1:7" ht="22.5">
      <c r="A1140" s="171"/>
      <c r="B1140" s="235" t="s">
        <v>7</v>
      </c>
      <c r="C1140" s="253" t="s">
        <v>54</v>
      </c>
      <c r="D1140" s="1" t="s">
        <v>194</v>
      </c>
      <c r="E1140" s="304">
        <v>1</v>
      </c>
      <c r="F1140" s="297">
        <f>VLOOKUP(B1140,[1]Plan1!A$1:D$65536,4,FALSE)</f>
        <v>12.36</v>
      </c>
      <c r="G1140" s="310">
        <f t="shared" si="53"/>
        <v>12.36</v>
      </c>
    </row>
    <row r="1141" spans="1:7" ht="22.5">
      <c r="A1141" s="171"/>
      <c r="B1141" s="235" t="s">
        <v>8</v>
      </c>
      <c r="C1141" s="253" t="s">
        <v>55</v>
      </c>
      <c r="D1141" s="1" t="s">
        <v>194</v>
      </c>
      <c r="E1141" s="304">
        <v>1</v>
      </c>
      <c r="F1141" s="297">
        <f>VLOOKUP(B1141,[1]Plan1!A$1:D$65536,4,FALSE)</f>
        <v>17.2</v>
      </c>
      <c r="G1141" s="310">
        <f t="shared" si="53"/>
        <v>17.2</v>
      </c>
    </row>
    <row r="1142" spans="1:7" ht="22.5">
      <c r="A1142" s="171"/>
      <c r="B1142" s="235" t="s">
        <v>9</v>
      </c>
      <c r="C1142" s="253" t="s">
        <v>56</v>
      </c>
      <c r="D1142" s="1" t="s">
        <v>194</v>
      </c>
      <c r="E1142" s="304">
        <v>1</v>
      </c>
      <c r="F1142" s="297">
        <f>VLOOKUP(B1142,[1]Plan1!A$1:D$65536,4,FALSE)</f>
        <v>33.159999999999997</v>
      </c>
      <c r="G1142" s="310">
        <f t="shared" si="53"/>
        <v>33.159999999999997</v>
      </c>
    </row>
    <row r="1143" spans="1:7">
      <c r="A1143" s="171"/>
      <c r="B1143" s="235" t="s">
        <v>10</v>
      </c>
      <c r="C1143" s="253" t="s">
        <v>57</v>
      </c>
      <c r="D1143" s="1" t="s">
        <v>194</v>
      </c>
      <c r="E1143" s="304">
        <v>8</v>
      </c>
      <c r="F1143" s="297">
        <f>VLOOKUP(B1143,[1]Plan1!A$1:D$65536,4,FALSE)</f>
        <v>1.83</v>
      </c>
      <c r="G1143" s="310">
        <f t="shared" si="53"/>
        <v>14.64</v>
      </c>
    </row>
    <row r="1144" spans="1:7">
      <c r="A1144" s="171"/>
      <c r="B1144" s="235" t="s">
        <v>11</v>
      </c>
      <c r="C1144" s="253" t="s">
        <v>58</v>
      </c>
      <c r="D1144" s="1" t="s">
        <v>194</v>
      </c>
      <c r="E1144" s="304">
        <v>2</v>
      </c>
      <c r="F1144" s="297">
        <f>VLOOKUP(B1144,[1]Plan1!A$1:D$65536,4,FALSE)</f>
        <v>3.56</v>
      </c>
      <c r="G1144" s="310">
        <f t="shared" si="53"/>
        <v>7.12</v>
      </c>
    </row>
    <row r="1145" spans="1:7">
      <c r="A1145" s="171"/>
      <c r="B1145" s="235" t="s">
        <v>12</v>
      </c>
      <c r="C1145" s="253" t="s">
        <v>59</v>
      </c>
      <c r="D1145" s="1" t="s">
        <v>194</v>
      </c>
      <c r="E1145" s="304">
        <v>3</v>
      </c>
      <c r="F1145" s="297">
        <f>VLOOKUP(B1145,[1]Plan1!A$1:D$65536,4,FALSE)</f>
        <v>9.61</v>
      </c>
      <c r="G1145" s="310">
        <f t="shared" si="53"/>
        <v>28.83</v>
      </c>
    </row>
    <row r="1146" spans="1:7">
      <c r="A1146" s="171"/>
      <c r="B1146" s="235" t="s">
        <v>13</v>
      </c>
      <c r="C1146" s="253" t="s">
        <v>60</v>
      </c>
      <c r="D1146" s="1" t="s">
        <v>194</v>
      </c>
      <c r="E1146" s="304">
        <v>1</v>
      </c>
      <c r="F1146" s="297">
        <f>VLOOKUP(B1146,[1]Plan1!A$1:D$65536,4,FALSE)</f>
        <v>2.31</v>
      </c>
      <c r="G1146" s="310">
        <f t="shared" si="53"/>
        <v>2.31</v>
      </c>
    </row>
    <row r="1147" spans="1:7">
      <c r="A1147" s="171"/>
      <c r="B1147" s="235" t="s">
        <v>14</v>
      </c>
      <c r="C1147" s="253" t="s">
        <v>61</v>
      </c>
      <c r="D1147" s="1" t="s">
        <v>194</v>
      </c>
      <c r="E1147" s="304">
        <v>4</v>
      </c>
      <c r="F1147" s="297">
        <f>VLOOKUP(B1147,[1]Plan1!A$1:D$65536,4,FALSE)</f>
        <v>1.83</v>
      </c>
      <c r="G1147" s="310">
        <f t="shared" si="53"/>
        <v>7.32</v>
      </c>
    </row>
    <row r="1148" spans="1:7">
      <c r="A1148" s="171"/>
      <c r="B1148" s="235" t="s">
        <v>15</v>
      </c>
      <c r="C1148" s="253" t="s">
        <v>62</v>
      </c>
      <c r="D1148" s="1" t="s">
        <v>194</v>
      </c>
      <c r="E1148" s="304">
        <v>2</v>
      </c>
      <c r="F1148" s="297">
        <f>VLOOKUP(B1148,[1]Plan1!A$1:D$65536,4,FALSE)</f>
        <v>2.74</v>
      </c>
      <c r="G1148" s="310">
        <f t="shared" si="53"/>
        <v>5.48</v>
      </c>
    </row>
    <row r="1149" spans="1:7">
      <c r="A1149" s="171"/>
      <c r="B1149" s="235" t="s">
        <v>16</v>
      </c>
      <c r="C1149" s="253" t="s">
        <v>63</v>
      </c>
      <c r="D1149" s="1" t="s">
        <v>194</v>
      </c>
      <c r="E1149" s="304">
        <v>2</v>
      </c>
      <c r="F1149" s="297">
        <f>VLOOKUP(B1149,[1]Plan1!A$1:D$65536,4,FALSE)</f>
        <v>25.43</v>
      </c>
      <c r="G1149" s="310">
        <f t="shared" si="53"/>
        <v>50.86</v>
      </c>
    </row>
    <row r="1150" spans="1:7" ht="22.5">
      <c r="A1150" s="171"/>
      <c r="B1150" s="235" t="s">
        <v>218</v>
      </c>
      <c r="C1150" s="253" t="s">
        <v>253</v>
      </c>
      <c r="D1150" s="1" t="s">
        <v>189</v>
      </c>
      <c r="E1150" s="304">
        <v>6</v>
      </c>
      <c r="F1150" s="297">
        <f>VLOOKUP(B1150,[1]Plan1!A$1:D$65536,4,FALSE)</f>
        <v>6.48</v>
      </c>
      <c r="G1150" s="310">
        <f t="shared" si="53"/>
        <v>38.880000000000003</v>
      </c>
    </row>
    <row r="1151" spans="1:7">
      <c r="A1151" s="172"/>
      <c r="B1151" s="235" t="s">
        <v>219</v>
      </c>
      <c r="C1151" s="253" t="s">
        <v>254</v>
      </c>
      <c r="D1151" s="1" t="s">
        <v>194</v>
      </c>
      <c r="E1151" s="304">
        <v>7</v>
      </c>
      <c r="F1151" s="297">
        <f>VLOOKUP(B1151,[1]Plan1!A$1:D$65536,4,FALSE)</f>
        <v>0.84</v>
      </c>
      <c r="G1151" s="310">
        <f t="shared" si="53"/>
        <v>5.88</v>
      </c>
    </row>
    <row r="1152" spans="1:7">
      <c r="A1152" s="172"/>
      <c r="B1152" s="235" t="s">
        <v>220</v>
      </c>
      <c r="C1152" s="253" t="s">
        <v>255</v>
      </c>
      <c r="D1152" s="1" t="s">
        <v>194</v>
      </c>
      <c r="E1152" s="304">
        <v>5</v>
      </c>
      <c r="F1152" s="297">
        <f>VLOOKUP(B1152,[1]Plan1!A$1:D$65536,4,FALSE)</f>
        <v>1.08</v>
      </c>
      <c r="G1152" s="310">
        <f t="shared" si="53"/>
        <v>5.4</v>
      </c>
    </row>
    <row r="1153" spans="1:7">
      <c r="A1153" s="172"/>
      <c r="B1153" s="235" t="s">
        <v>221</v>
      </c>
      <c r="C1153" s="253" t="s">
        <v>256</v>
      </c>
      <c r="D1153" s="1" t="s">
        <v>194</v>
      </c>
      <c r="E1153" s="304">
        <v>14</v>
      </c>
      <c r="F1153" s="297">
        <f>VLOOKUP(B1153,[1]Plan1!A$1:D$65536,4,FALSE)</f>
        <v>1.44</v>
      </c>
      <c r="G1153" s="310">
        <f t="shared" si="53"/>
        <v>20.16</v>
      </c>
    </row>
    <row r="1154" spans="1:7">
      <c r="A1154" s="172"/>
      <c r="B1154" s="235" t="s">
        <v>222</v>
      </c>
      <c r="C1154" s="253" t="s">
        <v>257</v>
      </c>
      <c r="D1154" s="1" t="s">
        <v>194</v>
      </c>
      <c r="E1154" s="304">
        <v>4</v>
      </c>
      <c r="F1154" s="297">
        <f>VLOOKUP(B1154,[1]Plan1!A$1:D$65536,4,FALSE)</f>
        <v>5.29</v>
      </c>
      <c r="G1154" s="310">
        <f t="shared" si="53"/>
        <v>21.16</v>
      </c>
    </row>
    <row r="1155" spans="1:7">
      <c r="A1155" s="172"/>
      <c r="B1155" s="235" t="s">
        <v>223</v>
      </c>
      <c r="C1155" s="253" t="s">
        <v>258</v>
      </c>
      <c r="D1155" s="1" t="s">
        <v>194</v>
      </c>
      <c r="E1155" s="304">
        <v>3</v>
      </c>
      <c r="F1155" s="297">
        <f>VLOOKUP(B1155,[1]Plan1!A$1:D$65536,4,FALSE)</f>
        <v>6.16</v>
      </c>
      <c r="G1155" s="310">
        <f t="shared" si="53"/>
        <v>18.48</v>
      </c>
    </row>
    <row r="1156" spans="1:7">
      <c r="A1156" s="172"/>
      <c r="B1156" s="235" t="s">
        <v>224</v>
      </c>
      <c r="C1156" s="253" t="s">
        <v>259</v>
      </c>
      <c r="D1156" s="1" t="s">
        <v>194</v>
      </c>
      <c r="E1156" s="304">
        <v>1</v>
      </c>
      <c r="F1156" s="297">
        <f>VLOOKUP(B1156,[1]Plan1!A$1:D$65536,4,FALSE)</f>
        <v>12.01</v>
      </c>
      <c r="G1156" s="310">
        <f t="shared" si="53"/>
        <v>12.01</v>
      </c>
    </row>
    <row r="1157" spans="1:7">
      <c r="A1157" s="172"/>
      <c r="B1157" s="235" t="s">
        <v>225</v>
      </c>
      <c r="C1157" s="253" t="s">
        <v>260</v>
      </c>
      <c r="D1157" s="1" t="s">
        <v>194</v>
      </c>
      <c r="E1157" s="304">
        <v>8</v>
      </c>
      <c r="F1157" s="297">
        <f>VLOOKUP(B1157,[1]Plan1!A$1:D$65536,4,FALSE)</f>
        <v>14.43</v>
      </c>
      <c r="G1157" s="310">
        <f t="shared" si="53"/>
        <v>115.44</v>
      </c>
    </row>
    <row r="1158" spans="1:7" ht="23.1" customHeight="1">
      <c r="A1158" s="172"/>
      <c r="B1158" s="235" t="s">
        <v>226</v>
      </c>
      <c r="C1158" s="253" t="s">
        <v>261</v>
      </c>
      <c r="D1158" s="1" t="s">
        <v>194</v>
      </c>
      <c r="E1158" s="304">
        <v>5</v>
      </c>
      <c r="F1158" s="297">
        <f>VLOOKUP(B1158,[1]Plan1!A$1:D$65536,4,FALSE)</f>
        <v>44.82</v>
      </c>
      <c r="G1158" s="310">
        <f t="shared" si="53"/>
        <v>224.1</v>
      </c>
    </row>
    <row r="1159" spans="1:7" ht="23.1" customHeight="1">
      <c r="A1159" s="172"/>
      <c r="B1159" s="235" t="s">
        <v>216</v>
      </c>
      <c r="C1159" s="253" t="s">
        <v>263</v>
      </c>
      <c r="D1159" s="1" t="s">
        <v>194</v>
      </c>
      <c r="E1159" s="304">
        <v>2</v>
      </c>
      <c r="F1159" s="297">
        <f>VLOOKUP(B1159,[1]Plan1!A$1:D$65536,4,FALSE)</f>
        <v>125.87</v>
      </c>
      <c r="G1159" s="310">
        <f t="shared" si="53"/>
        <v>251.74</v>
      </c>
    </row>
    <row r="1160" spans="1:7">
      <c r="A1160" s="172"/>
      <c r="B1160" s="235" t="s">
        <v>217</v>
      </c>
      <c r="C1160" s="253" t="s">
        <v>264</v>
      </c>
      <c r="D1160" s="1" t="s">
        <v>194</v>
      </c>
      <c r="E1160" s="304">
        <v>2</v>
      </c>
      <c r="F1160" s="297">
        <f>VLOOKUP(B1160,[1]Plan1!A$1:D$65536,4,FALSE)</f>
        <v>113.84</v>
      </c>
      <c r="G1160" s="310">
        <f t="shared" si="53"/>
        <v>227.68</v>
      </c>
    </row>
    <row r="1161" spans="1:7">
      <c r="A1161" s="172"/>
      <c r="B1161" s="235"/>
      <c r="C1161" s="253" t="s">
        <v>266</v>
      </c>
      <c r="D1161" s="1" t="s">
        <v>194</v>
      </c>
      <c r="E1161" s="304">
        <v>4</v>
      </c>
      <c r="F1161" s="312">
        <v>4.88</v>
      </c>
      <c r="G1161" s="310">
        <f t="shared" si="53"/>
        <v>19.52</v>
      </c>
    </row>
    <row r="1162" spans="1:7" ht="22.5">
      <c r="A1162" s="172"/>
      <c r="B1162" s="235" t="s">
        <v>196</v>
      </c>
      <c r="C1162" s="253" t="s">
        <v>198</v>
      </c>
      <c r="D1162" s="1" t="s">
        <v>189</v>
      </c>
      <c r="E1162" s="304">
        <v>5</v>
      </c>
      <c r="F1162" s="297">
        <f>VLOOKUP(B1162,[1]Plan1!A$1:D$65536,4,FALSE)</f>
        <v>9.76</v>
      </c>
      <c r="G1162" s="310">
        <f t="shared" si="53"/>
        <v>48.8</v>
      </c>
    </row>
    <row r="1163" spans="1:7" ht="22.5">
      <c r="A1163" s="172"/>
      <c r="B1163" s="235" t="s">
        <v>197</v>
      </c>
      <c r="C1163" s="253" t="s">
        <v>199</v>
      </c>
      <c r="D1163" s="1" t="s">
        <v>189</v>
      </c>
      <c r="E1163" s="304">
        <v>38</v>
      </c>
      <c r="F1163" s="297">
        <f>VLOOKUP(B1163,[1]Plan1!A$1:D$65536,4,FALSE)</f>
        <v>15.36</v>
      </c>
      <c r="G1163" s="310">
        <f t="shared" si="53"/>
        <v>583.67999999999995</v>
      </c>
    </row>
    <row r="1164" spans="1:7">
      <c r="A1164" s="172"/>
      <c r="B1164" s="235" t="s">
        <v>200</v>
      </c>
      <c r="C1164" s="272" t="s">
        <v>35</v>
      </c>
      <c r="D1164" s="29" t="s">
        <v>194</v>
      </c>
      <c r="E1164" s="304">
        <v>1</v>
      </c>
      <c r="F1164" s="297">
        <f>VLOOKUP(B1164,[1]Plan1!A$1:D$65536,4,FALSE)</f>
        <v>199.91</v>
      </c>
      <c r="G1164" s="310">
        <f t="shared" si="53"/>
        <v>199.91</v>
      </c>
    </row>
    <row r="1165" spans="1:7">
      <c r="A1165" s="172"/>
      <c r="B1165" s="235" t="s">
        <v>201</v>
      </c>
      <c r="C1165" s="272" t="s">
        <v>36</v>
      </c>
      <c r="D1165" s="29" t="s">
        <v>194</v>
      </c>
      <c r="E1165" s="304">
        <v>1</v>
      </c>
      <c r="F1165" s="297">
        <f>VLOOKUP(B1165,[1]Plan1!A$1:D$65536,4,FALSE)</f>
        <v>94.61</v>
      </c>
      <c r="G1165" s="310">
        <f t="shared" si="53"/>
        <v>94.61</v>
      </c>
    </row>
    <row r="1166" spans="1:7">
      <c r="A1166" s="172"/>
      <c r="B1166" s="235" t="s">
        <v>202</v>
      </c>
      <c r="C1166" s="272" t="s">
        <v>37</v>
      </c>
      <c r="D1166" s="29" t="s">
        <v>194</v>
      </c>
      <c r="E1166" s="312">
        <v>1</v>
      </c>
      <c r="F1166" s="297">
        <f>VLOOKUP(B1166,[1]Plan1!A$1:D$65536,4,FALSE)</f>
        <v>30.22</v>
      </c>
      <c r="G1166" s="310">
        <f t="shared" si="53"/>
        <v>30.22</v>
      </c>
    </row>
    <row r="1167" spans="1:7">
      <c r="A1167" s="172"/>
      <c r="B1167" s="235" t="s">
        <v>203</v>
      </c>
      <c r="C1167" s="272" t="s">
        <v>38</v>
      </c>
      <c r="D1167" s="29" t="s">
        <v>194</v>
      </c>
      <c r="E1167" s="312">
        <v>1</v>
      </c>
      <c r="F1167" s="297">
        <f>VLOOKUP(B1167,[1]Plan1!A$1:D$65536,4,FALSE)</f>
        <v>14.46</v>
      </c>
      <c r="G1167" s="310">
        <f t="shared" si="53"/>
        <v>14.46</v>
      </c>
    </row>
    <row r="1168" spans="1:7">
      <c r="A1168" s="172"/>
      <c r="B1168" s="235" t="s">
        <v>204</v>
      </c>
      <c r="C1168" s="272" t="s">
        <v>39</v>
      </c>
      <c r="D1168" s="29" t="s">
        <v>194</v>
      </c>
      <c r="E1168" s="304">
        <v>1</v>
      </c>
      <c r="F1168" s="297">
        <f>VLOOKUP(B1168,[1]Plan1!A$1:D$65536,4,FALSE)</f>
        <v>31.09</v>
      </c>
      <c r="G1168" s="310">
        <f t="shared" si="53"/>
        <v>31.09</v>
      </c>
    </row>
    <row r="1169" spans="1:7">
      <c r="A1169" s="172"/>
      <c r="B1169" s="235"/>
      <c r="C1169" s="272" t="s">
        <v>34</v>
      </c>
      <c r="D1169" s="29" t="s">
        <v>194</v>
      </c>
      <c r="E1169" s="304">
        <v>1</v>
      </c>
      <c r="F1169" s="312">
        <f>25.87*1.3</f>
        <v>33.631</v>
      </c>
      <c r="G1169" s="310">
        <f t="shared" si="53"/>
        <v>33.630000000000003</v>
      </c>
    </row>
    <row r="1170" spans="1:7">
      <c r="A1170" s="172"/>
      <c r="B1170" s="235"/>
      <c r="C1170" s="272" t="s">
        <v>129</v>
      </c>
      <c r="D1170" s="29" t="s">
        <v>194</v>
      </c>
      <c r="E1170" s="304">
        <v>1</v>
      </c>
      <c r="F1170" s="312">
        <v>37.15</v>
      </c>
      <c r="G1170" s="310">
        <f t="shared" si="53"/>
        <v>37.15</v>
      </c>
    </row>
    <row r="1171" spans="1:7">
      <c r="A1171" s="172"/>
      <c r="B1171" s="235"/>
      <c r="C1171" s="272" t="s">
        <v>130</v>
      </c>
      <c r="D1171" s="29" t="s">
        <v>194</v>
      </c>
      <c r="E1171" s="304">
        <v>1</v>
      </c>
      <c r="F1171" s="312">
        <v>47.29</v>
      </c>
      <c r="G1171" s="310">
        <f t="shared" si="53"/>
        <v>47.29</v>
      </c>
    </row>
    <row r="1172" spans="1:7">
      <c r="A1172" s="172"/>
      <c r="B1172" s="235" t="s">
        <v>17</v>
      </c>
      <c r="C1172" s="272" t="s">
        <v>40</v>
      </c>
      <c r="D1172" s="29" t="s">
        <v>194</v>
      </c>
      <c r="E1172" s="304">
        <v>1</v>
      </c>
      <c r="F1172" s="297">
        <f>VLOOKUP(B1172,[1]Plan1!A$1:D$65536,4,FALSE)</f>
        <v>165.91</v>
      </c>
      <c r="G1172" s="310">
        <f t="shared" si="53"/>
        <v>165.91</v>
      </c>
    </row>
    <row r="1173" spans="1:7">
      <c r="A1173" s="172"/>
      <c r="B1173" s="235" t="s">
        <v>776</v>
      </c>
      <c r="C1173" s="257" t="s">
        <v>131</v>
      </c>
      <c r="D1173" s="1" t="s">
        <v>194</v>
      </c>
      <c r="E1173" s="304">
        <v>1</v>
      </c>
      <c r="F1173" s="209">
        <f>VLOOKUP(B1173,hidro!A:AR,41,FALSE)</f>
        <v>207.29000000000002</v>
      </c>
      <c r="G1173" s="310">
        <f t="shared" si="53"/>
        <v>207.29</v>
      </c>
    </row>
    <row r="1174" spans="1:7" ht="22.5">
      <c r="A1174" s="172"/>
      <c r="B1174" s="235" t="s">
        <v>775</v>
      </c>
      <c r="C1174" s="253" t="s">
        <v>132</v>
      </c>
      <c r="D1174" s="1" t="s">
        <v>194</v>
      </c>
      <c r="E1174" s="304">
        <v>14</v>
      </c>
      <c r="F1174" s="209">
        <f>VLOOKUP(B1174,hidro!A:AR,41,FALSE)</f>
        <v>360.38</v>
      </c>
      <c r="G1174" s="310">
        <f t="shared" si="53"/>
        <v>5045.32</v>
      </c>
    </row>
    <row r="1175" spans="1:7" ht="22.5">
      <c r="A1175" s="172"/>
      <c r="B1175" s="235" t="s">
        <v>777</v>
      </c>
      <c r="C1175" s="272" t="s">
        <v>205</v>
      </c>
      <c r="D1175" s="1" t="s">
        <v>194</v>
      </c>
      <c r="E1175" s="304">
        <v>2</v>
      </c>
      <c r="F1175" s="209">
        <f>VLOOKUP(B1175,hidro!A:AR,41,FALSE)</f>
        <v>81.749999999999986</v>
      </c>
      <c r="G1175" s="310">
        <f t="shared" si="53"/>
        <v>163.5</v>
      </c>
    </row>
    <row r="1176" spans="1:7">
      <c r="A1176" s="172"/>
      <c r="B1176" s="235" t="s">
        <v>18</v>
      </c>
      <c r="C1176" s="272" t="s">
        <v>21</v>
      </c>
      <c r="D1176" s="1" t="s">
        <v>194</v>
      </c>
      <c r="E1176" s="304">
        <v>1</v>
      </c>
      <c r="F1176" s="297">
        <f>VLOOKUP(B1176,[1]Plan1!A$1:D$65536,4,FALSE)</f>
        <v>24.94</v>
      </c>
      <c r="G1176" s="310">
        <f t="shared" si="53"/>
        <v>24.94</v>
      </c>
    </row>
    <row r="1177" spans="1:7">
      <c r="A1177" s="172"/>
      <c r="B1177" s="235" t="s">
        <v>206</v>
      </c>
      <c r="C1177" s="272" t="s">
        <v>22</v>
      </c>
      <c r="D1177" s="1" t="s">
        <v>194</v>
      </c>
      <c r="E1177" s="304">
        <v>3</v>
      </c>
      <c r="F1177" s="297">
        <f>VLOOKUP(B1177,[1]Plan1!A$1:D$65536,4,FALSE)</f>
        <v>6.4</v>
      </c>
      <c r="G1177" s="310">
        <f t="shared" si="53"/>
        <v>19.2</v>
      </c>
    </row>
    <row r="1178" spans="1:7">
      <c r="A1178" s="172"/>
      <c r="B1178" s="235" t="s">
        <v>207</v>
      </c>
      <c r="C1178" s="272" t="s">
        <v>23</v>
      </c>
      <c r="D1178" s="1" t="s">
        <v>194</v>
      </c>
      <c r="E1178" s="304">
        <v>1</v>
      </c>
      <c r="F1178" s="297">
        <f>VLOOKUP(B1178,[1]Plan1!A$1:D$65536,4,FALSE)</f>
        <v>11.04</v>
      </c>
      <c r="G1178" s="310">
        <f t="shared" si="53"/>
        <v>11.04</v>
      </c>
    </row>
    <row r="1179" spans="1:7">
      <c r="A1179" s="172"/>
      <c r="B1179" s="235" t="s">
        <v>19</v>
      </c>
      <c r="C1179" s="272" t="s">
        <v>24</v>
      </c>
      <c r="D1179" s="1" t="s">
        <v>194</v>
      </c>
      <c r="E1179" s="304">
        <v>1</v>
      </c>
      <c r="F1179" s="297">
        <f>VLOOKUP(B1179,[1]Plan1!A$1:D$65536,4,FALSE)</f>
        <v>12.68</v>
      </c>
      <c r="G1179" s="310">
        <f t="shared" si="53"/>
        <v>12.68</v>
      </c>
    </row>
    <row r="1180" spans="1:7">
      <c r="A1180" s="172"/>
      <c r="B1180" s="235" t="s">
        <v>778</v>
      </c>
      <c r="C1180" s="272" t="s">
        <v>208</v>
      </c>
      <c r="D1180" s="1" t="s">
        <v>194</v>
      </c>
      <c r="E1180" s="304">
        <v>1</v>
      </c>
      <c r="F1180" s="312">
        <f>TRUNC(1.14*1.2031,2)</f>
        <v>1.37</v>
      </c>
      <c r="G1180" s="310">
        <f t="shared" si="53"/>
        <v>1.37</v>
      </c>
    </row>
    <row r="1181" spans="1:7">
      <c r="A1181" s="172"/>
      <c r="B1181" s="235" t="s">
        <v>778</v>
      </c>
      <c r="C1181" s="272" t="s">
        <v>209</v>
      </c>
      <c r="D1181" s="1" t="s">
        <v>194</v>
      </c>
      <c r="E1181" s="304">
        <v>8</v>
      </c>
      <c r="F1181" s="312">
        <f>TRUNC(19.44*1.2031,2)</f>
        <v>23.38</v>
      </c>
      <c r="G1181" s="310">
        <f t="shared" si="53"/>
        <v>187.04</v>
      </c>
    </row>
    <row r="1182" spans="1:7">
      <c r="A1182" s="172"/>
      <c r="B1182" s="235" t="s">
        <v>20</v>
      </c>
      <c r="C1182" s="272" t="s">
        <v>25</v>
      </c>
      <c r="D1182" s="1" t="s">
        <v>194</v>
      </c>
      <c r="E1182" s="304">
        <v>33</v>
      </c>
      <c r="F1182" s="297">
        <f>VLOOKUP(B1182,[1]Plan1!A$1:D$65536,4,FALSE)</f>
        <v>5.77</v>
      </c>
      <c r="G1182" s="310">
        <f t="shared" si="53"/>
        <v>190.41</v>
      </c>
    </row>
    <row r="1183" spans="1:7">
      <c r="A1183" s="172"/>
      <c r="B1183" s="235" t="s">
        <v>210</v>
      </c>
      <c r="C1183" s="272" t="s">
        <v>26</v>
      </c>
      <c r="D1183" s="1" t="s">
        <v>194</v>
      </c>
      <c r="E1183" s="304">
        <v>3</v>
      </c>
      <c r="F1183" s="297">
        <f>VLOOKUP(B1183,[1]Plan1!A$1:D$65536,4,FALSE)</f>
        <v>2.19</v>
      </c>
      <c r="G1183" s="310">
        <f t="shared" si="53"/>
        <v>6.57</v>
      </c>
    </row>
    <row r="1184" spans="1:7">
      <c r="A1184" s="172"/>
      <c r="B1184" s="235" t="s">
        <v>211</v>
      </c>
      <c r="C1184" s="272" t="s">
        <v>27</v>
      </c>
      <c r="D1184" s="1" t="s">
        <v>194</v>
      </c>
      <c r="E1184" s="304">
        <v>1</v>
      </c>
      <c r="F1184" s="297">
        <f>VLOOKUP(B1184,[1]Plan1!A$1:D$65536,4,FALSE)</f>
        <v>3.63</v>
      </c>
      <c r="G1184" s="310">
        <f t="shared" si="53"/>
        <v>3.63</v>
      </c>
    </row>
    <row r="1185" spans="1:7">
      <c r="A1185" s="172"/>
      <c r="B1185" s="235" t="s">
        <v>212</v>
      </c>
      <c r="C1185" s="272" t="s">
        <v>28</v>
      </c>
      <c r="D1185" s="1" t="s">
        <v>194</v>
      </c>
      <c r="E1185" s="304">
        <v>1</v>
      </c>
      <c r="F1185" s="297">
        <f>VLOOKUP(B1185,[1]Plan1!A$1:D$65536,4,FALSE)</f>
        <v>5.97</v>
      </c>
      <c r="G1185" s="310">
        <f t="shared" si="53"/>
        <v>5.97</v>
      </c>
    </row>
    <row r="1186" spans="1:7">
      <c r="A1186" s="172"/>
      <c r="B1186" s="235" t="s">
        <v>213</v>
      </c>
      <c r="C1186" s="272" t="s">
        <v>29</v>
      </c>
      <c r="D1186" s="1" t="s">
        <v>194</v>
      </c>
      <c r="E1186" s="304">
        <v>2</v>
      </c>
      <c r="F1186" s="297">
        <f>VLOOKUP(B1186,[1]Plan1!A$1:D$65536,4,FALSE)</f>
        <v>3.32</v>
      </c>
      <c r="G1186" s="310">
        <f t="shared" si="53"/>
        <v>6.64</v>
      </c>
    </row>
    <row r="1187" spans="1:7">
      <c r="A1187" s="172"/>
      <c r="B1187" s="235" t="s">
        <v>214</v>
      </c>
      <c r="C1187" s="272" t="s">
        <v>30</v>
      </c>
      <c r="D1187" s="1" t="s">
        <v>194</v>
      </c>
      <c r="E1187" s="304">
        <v>4</v>
      </c>
      <c r="F1187" s="297">
        <f>VLOOKUP(B1187,[1]Plan1!A$1:D$65536,4,FALSE)</f>
        <v>8.77</v>
      </c>
      <c r="G1187" s="310">
        <f t="shared" si="53"/>
        <v>35.08</v>
      </c>
    </row>
    <row r="1188" spans="1:7">
      <c r="A1188" s="172"/>
      <c r="B1188" s="235" t="s">
        <v>215</v>
      </c>
      <c r="C1188" s="272" t="s">
        <v>31</v>
      </c>
      <c r="D1188" s="1" t="s">
        <v>194</v>
      </c>
      <c r="E1188" s="304">
        <v>2</v>
      </c>
      <c r="F1188" s="297">
        <f>VLOOKUP(B1188,[1]Plan1!A$1:D$65536,4,FALSE)</f>
        <v>5.47</v>
      </c>
      <c r="G1188" s="310">
        <f t="shared" si="53"/>
        <v>10.94</v>
      </c>
    </row>
    <row r="1189" spans="1:7">
      <c r="A1189" s="172"/>
      <c r="B1189" s="235" t="s">
        <v>15</v>
      </c>
      <c r="C1189" s="272" t="s">
        <v>562</v>
      </c>
      <c r="D1189" s="1" t="s">
        <v>194</v>
      </c>
      <c r="E1189" s="304">
        <v>3</v>
      </c>
      <c r="F1189" s="297">
        <f>VLOOKUP(B1189,[1]Plan1!A$1:D$65536,4,FALSE)</f>
        <v>2.74</v>
      </c>
      <c r="G1189" s="310">
        <f t="shared" si="53"/>
        <v>8.2200000000000006</v>
      </c>
    </row>
    <row r="1190" spans="1:7">
      <c r="A1190" s="172"/>
      <c r="B1190" s="235" t="s">
        <v>778</v>
      </c>
      <c r="C1190" s="272" t="s">
        <v>228</v>
      </c>
      <c r="D1190" s="1" t="s">
        <v>194</v>
      </c>
      <c r="E1190" s="304">
        <v>4</v>
      </c>
      <c r="F1190" s="312">
        <f>TRUNC(0.68*1.2031,2)</f>
        <v>0.81</v>
      </c>
      <c r="G1190" s="310">
        <f t="shared" si="53"/>
        <v>3.24</v>
      </c>
    </row>
    <row r="1191" spans="1:7">
      <c r="A1191" s="50" t="s">
        <v>915</v>
      </c>
      <c r="B1191" s="235"/>
      <c r="C1191" s="256" t="s">
        <v>916</v>
      </c>
      <c r="D1191" s="1"/>
      <c r="E1191" s="312"/>
      <c r="F1191" s="296"/>
      <c r="G1191" s="296">
        <f>SUM(G1133:G1190)</f>
        <v>9354.0400000000009</v>
      </c>
    </row>
    <row r="1192" spans="1:7">
      <c r="A1192" s="172"/>
      <c r="B1192" s="235"/>
      <c r="C1192" s="256"/>
      <c r="D1192" s="1"/>
      <c r="E1192" s="312"/>
      <c r="F1192" s="296"/>
      <c r="G1192" s="296"/>
    </row>
    <row r="1193" spans="1:7">
      <c r="A1193" s="172">
        <v>16</v>
      </c>
      <c r="B1193" s="233">
        <v>16</v>
      </c>
      <c r="C1193" s="254" t="s">
        <v>633</v>
      </c>
      <c r="D1193" s="170"/>
      <c r="E1193" s="178"/>
      <c r="F1193" s="178"/>
      <c r="G1193" s="178"/>
    </row>
    <row r="1194" spans="1:7">
      <c r="A1194" s="172"/>
      <c r="B1194" s="234"/>
      <c r="C1194" s="255" t="s">
        <v>635</v>
      </c>
      <c r="D1194" s="213"/>
      <c r="E1194" s="227"/>
      <c r="F1194" s="296"/>
      <c r="G1194" s="297"/>
    </row>
    <row r="1195" spans="1:7">
      <c r="A1195" s="172"/>
      <c r="B1195" s="247" t="s">
        <v>650</v>
      </c>
      <c r="C1195" s="257" t="s">
        <v>687</v>
      </c>
      <c r="D1195" s="213" t="s">
        <v>246</v>
      </c>
      <c r="E1195" s="227">
        <v>81791</v>
      </c>
      <c r="F1195" s="209">
        <f>VLOOKUP(B1195,'estrutura met'!A:AR,41,FALSE)</f>
        <v>13.26</v>
      </c>
      <c r="G1195" s="297">
        <f t="shared" ref="G1195:G1204" si="54">TRUNC(E1195*F1195,2)</f>
        <v>1084548.6599999999</v>
      </c>
    </row>
    <row r="1196" spans="1:7">
      <c r="A1196" s="172"/>
      <c r="B1196" s="247" t="s">
        <v>653</v>
      </c>
      <c r="C1196" s="253" t="s">
        <v>706</v>
      </c>
      <c r="D1196" s="1" t="s">
        <v>246</v>
      </c>
      <c r="E1196" s="208">
        <v>12124</v>
      </c>
      <c r="F1196" s="209">
        <f>VLOOKUP(B1196,'estrutura met'!A:AR,41,FALSE)</f>
        <v>13.14</v>
      </c>
      <c r="G1196" s="297">
        <f t="shared" si="54"/>
        <v>159309.35999999999</v>
      </c>
    </row>
    <row r="1197" spans="1:7">
      <c r="A1197" s="172"/>
      <c r="B1197" s="247" t="s">
        <v>656</v>
      </c>
      <c r="C1197" s="257" t="s">
        <v>704</v>
      </c>
      <c r="D1197" s="1" t="s">
        <v>246</v>
      </c>
      <c r="E1197" s="208">
        <v>6278</v>
      </c>
      <c r="F1197" s="209">
        <f>VLOOKUP(B1197,'estrutura met'!A:AR,41,FALSE)</f>
        <v>12.64</v>
      </c>
      <c r="G1197" s="297">
        <f t="shared" si="54"/>
        <v>79353.919999999998</v>
      </c>
    </row>
    <row r="1198" spans="1:7">
      <c r="A1198" s="172"/>
      <c r="B1198" s="247" t="s">
        <v>659</v>
      </c>
      <c r="C1198" s="253" t="s">
        <v>701</v>
      </c>
      <c r="D1198" s="1" t="s">
        <v>246</v>
      </c>
      <c r="E1198" s="207">
        <v>7004</v>
      </c>
      <c r="F1198" s="209">
        <f>VLOOKUP(B1198,'estrutura met'!A:AR,41,FALSE)</f>
        <v>13.799999999999999</v>
      </c>
      <c r="G1198" s="297">
        <f t="shared" si="54"/>
        <v>96655.2</v>
      </c>
    </row>
    <row r="1199" spans="1:7">
      <c r="A1199" s="172"/>
      <c r="B1199" s="247" t="s">
        <v>662</v>
      </c>
      <c r="C1199" s="253" t="s">
        <v>700</v>
      </c>
      <c r="D1199" s="1" t="s">
        <v>246</v>
      </c>
      <c r="E1199" s="207">
        <v>9376</v>
      </c>
      <c r="F1199" s="209">
        <f>VLOOKUP(B1199,'estrutura met'!A:AR,41,FALSE)</f>
        <v>13.799999999999999</v>
      </c>
      <c r="G1199" s="297">
        <f t="shared" si="54"/>
        <v>129388.8</v>
      </c>
    </row>
    <row r="1200" spans="1:7">
      <c r="A1200" s="172"/>
      <c r="B1200" s="247" t="s">
        <v>665</v>
      </c>
      <c r="C1200" s="253" t="s">
        <v>697</v>
      </c>
      <c r="D1200" s="1" t="s">
        <v>246</v>
      </c>
      <c r="E1200" s="207">
        <v>2060</v>
      </c>
      <c r="F1200" s="209">
        <f>VLOOKUP(B1200,'estrutura met'!A:AR,41,FALSE)</f>
        <v>12.89</v>
      </c>
      <c r="G1200" s="297">
        <f t="shared" si="54"/>
        <v>26553.4</v>
      </c>
    </row>
    <row r="1201" spans="1:7">
      <c r="A1201" s="172"/>
      <c r="B1201" s="247" t="s">
        <v>668</v>
      </c>
      <c r="C1201" s="253" t="s">
        <v>696</v>
      </c>
      <c r="D1201" s="1" t="s">
        <v>246</v>
      </c>
      <c r="E1201" s="207">
        <v>5110</v>
      </c>
      <c r="F1201" s="209">
        <f>VLOOKUP(B1201,'estrutura met'!A:AR,41,FALSE)</f>
        <v>12.75</v>
      </c>
      <c r="G1201" s="297">
        <f t="shared" si="54"/>
        <v>65152.5</v>
      </c>
    </row>
    <row r="1202" spans="1:7">
      <c r="A1202" s="172"/>
      <c r="B1202" s="247" t="s">
        <v>670</v>
      </c>
      <c r="C1202" s="253" t="s">
        <v>695</v>
      </c>
      <c r="D1202" s="1" t="s">
        <v>246</v>
      </c>
      <c r="E1202" s="207">
        <v>39217</v>
      </c>
      <c r="F1202" s="209">
        <f>VLOOKUP(B1202,'estrutura met'!A:AR,41,FALSE)</f>
        <v>12.72</v>
      </c>
      <c r="G1202" s="297">
        <f t="shared" si="54"/>
        <v>498840.24</v>
      </c>
    </row>
    <row r="1203" spans="1:7">
      <c r="A1203" s="172"/>
      <c r="B1203" s="247" t="s">
        <v>688</v>
      </c>
      <c r="C1203" s="253" t="s">
        <v>691</v>
      </c>
      <c r="D1203" s="1" t="s">
        <v>246</v>
      </c>
      <c r="E1203" s="207">
        <v>5625</v>
      </c>
      <c r="F1203" s="209">
        <f>VLOOKUP(B1203,'estrutura met'!A:AR,41,FALSE)</f>
        <v>12.72</v>
      </c>
      <c r="G1203" s="297">
        <f t="shared" si="54"/>
        <v>71550</v>
      </c>
    </row>
    <row r="1204" spans="1:7">
      <c r="A1204" s="172"/>
      <c r="B1204" s="247" t="s">
        <v>689</v>
      </c>
      <c r="C1204" s="253" t="s">
        <v>675</v>
      </c>
      <c r="D1204" s="213" t="s">
        <v>185</v>
      </c>
      <c r="E1204" s="207">
        <v>1021</v>
      </c>
      <c r="F1204" s="209">
        <f>VLOOKUP(B1204,'estrutura met'!A:AR,41,FALSE)</f>
        <v>28.589999999999996</v>
      </c>
      <c r="G1204" s="297">
        <f t="shared" si="54"/>
        <v>29190.39</v>
      </c>
    </row>
    <row r="1205" spans="1:7">
      <c r="A1205" s="50" t="s">
        <v>1223</v>
      </c>
      <c r="B1205" s="235"/>
      <c r="C1205" s="256" t="s">
        <v>1222</v>
      </c>
      <c r="D1205" s="1"/>
      <c r="E1205" s="312"/>
      <c r="F1205" s="296"/>
      <c r="G1205" s="296">
        <f>SUM(G1195:G1204)</f>
        <v>2240542.4700000002</v>
      </c>
    </row>
    <row r="1206" spans="1:7">
      <c r="A1206" s="172"/>
      <c r="B1206" s="235"/>
      <c r="C1206" s="256"/>
      <c r="D1206" s="1"/>
      <c r="E1206" s="312"/>
      <c r="F1206" s="296"/>
      <c r="G1206" s="296"/>
    </row>
    <row r="1207" spans="1:7">
      <c r="A1207" s="172">
        <v>17</v>
      </c>
      <c r="B1207" s="233">
        <v>17</v>
      </c>
      <c r="C1207" s="254" t="s">
        <v>1093</v>
      </c>
      <c r="D1207" s="170"/>
      <c r="E1207" s="178"/>
      <c r="F1207" s="178"/>
      <c r="G1207" s="178"/>
    </row>
    <row r="1208" spans="1:7">
      <c r="A1208" s="172" t="s">
        <v>1357</v>
      </c>
      <c r="B1208" s="234" t="s">
        <v>1357</v>
      </c>
      <c r="C1208" s="263" t="s">
        <v>1094</v>
      </c>
      <c r="D1208" s="1"/>
      <c r="E1208" s="312"/>
      <c r="F1208" s="296"/>
      <c r="G1208" s="296"/>
    </row>
    <row r="1209" spans="1:7">
      <c r="A1209" s="172"/>
      <c r="B1209" s="171">
        <v>117803</v>
      </c>
      <c r="C1209" s="258" t="s">
        <v>1095</v>
      </c>
      <c r="D1209" s="28" t="s">
        <v>348</v>
      </c>
      <c r="E1209" s="92">
        <v>2</v>
      </c>
      <c r="F1209" s="93">
        <v>85.5</v>
      </c>
      <c r="G1209" s="93">
        <f>TRUNC(E1209*F1209,2)</f>
        <v>171</v>
      </c>
    </row>
    <row r="1210" spans="1:7">
      <c r="A1210" s="172"/>
      <c r="B1210" s="171" t="s">
        <v>1421</v>
      </c>
      <c r="C1210" s="258" t="s">
        <v>1096</v>
      </c>
      <c r="D1210" s="28" t="s">
        <v>348</v>
      </c>
      <c r="E1210" s="92">
        <v>39</v>
      </c>
      <c r="F1210" s="93">
        <f>VLOOKUP(B1210,[3]Plan1!A$1:D$65536,4,FALSE)</f>
        <v>38.32</v>
      </c>
      <c r="G1210" s="93">
        <f t="shared" ref="G1210:G1283" si="55">TRUNC(E1210*F1210,2)</f>
        <v>1494.48</v>
      </c>
    </row>
    <row r="1211" spans="1:7">
      <c r="A1211" s="172"/>
      <c r="B1211" s="171" t="s">
        <v>1422</v>
      </c>
      <c r="C1211" s="252" t="s">
        <v>1097</v>
      </c>
      <c r="D1211" s="3" t="s">
        <v>348</v>
      </c>
      <c r="E1211" s="93">
        <v>36</v>
      </c>
      <c r="F1211" s="93">
        <f>VLOOKUP(B1211,[3]Plan1!A$1:D$65536,4,FALSE)</f>
        <v>243.03</v>
      </c>
      <c r="G1211" s="93">
        <f t="shared" si="55"/>
        <v>8749.08</v>
      </c>
    </row>
    <row r="1212" spans="1:7">
      <c r="A1212" s="172"/>
      <c r="B1212" s="171" t="s">
        <v>1423</v>
      </c>
      <c r="C1212" s="252" t="s">
        <v>1098</v>
      </c>
      <c r="D1212" s="3" t="s">
        <v>348</v>
      </c>
      <c r="E1212" s="93">
        <v>12</v>
      </c>
      <c r="F1212" s="93">
        <f>VLOOKUP(B1212,[3]Plan1!A$1:D$65536,4,FALSE)</f>
        <v>62.13</v>
      </c>
      <c r="G1212" s="93">
        <f t="shared" si="55"/>
        <v>745.56</v>
      </c>
    </row>
    <row r="1213" spans="1:7">
      <c r="A1213" s="172"/>
      <c r="B1213" s="171" t="s">
        <v>1424</v>
      </c>
      <c r="C1213" s="252" t="s">
        <v>1099</v>
      </c>
      <c r="D1213" s="3" t="s">
        <v>348</v>
      </c>
      <c r="E1213" s="93">
        <v>106</v>
      </c>
      <c r="F1213" s="93">
        <f>VLOOKUP(B1213,[3]Plan1!A$1:D$65536,4,FALSE)</f>
        <v>60.24</v>
      </c>
      <c r="G1213" s="93">
        <f t="shared" si="55"/>
        <v>6385.44</v>
      </c>
    </row>
    <row r="1214" spans="1:7">
      <c r="A1214" s="172"/>
      <c r="B1214" s="171">
        <v>130729</v>
      </c>
      <c r="C1214" s="252" t="s">
        <v>1100</v>
      </c>
      <c r="D1214" s="3" t="s">
        <v>348</v>
      </c>
      <c r="E1214" s="93">
        <v>3</v>
      </c>
      <c r="F1214" s="93">
        <v>156.4</v>
      </c>
      <c r="G1214" s="93">
        <f t="shared" si="55"/>
        <v>469.2</v>
      </c>
    </row>
    <row r="1215" spans="1:7">
      <c r="A1215" s="172"/>
      <c r="B1215" s="171" t="s">
        <v>1425</v>
      </c>
      <c r="C1215" s="252" t="s">
        <v>1101</v>
      </c>
      <c r="D1215" s="3" t="s">
        <v>348</v>
      </c>
      <c r="E1215" s="93">
        <v>21</v>
      </c>
      <c r="F1215" s="93">
        <f>VLOOKUP(B1215,[3]Plan1!A$1:D$65536,4,FALSE)</f>
        <v>16.61</v>
      </c>
      <c r="G1215" s="93">
        <f t="shared" si="55"/>
        <v>348.81</v>
      </c>
    </row>
    <row r="1216" spans="1:7">
      <c r="A1216" s="172"/>
      <c r="B1216" s="171" t="s">
        <v>1426</v>
      </c>
      <c r="C1216" s="252" t="s">
        <v>1102</v>
      </c>
      <c r="D1216" s="3" t="s">
        <v>348</v>
      </c>
      <c r="E1216" s="93">
        <v>3</v>
      </c>
      <c r="F1216" s="93">
        <f>VLOOKUP(B1216,[3]Plan1!A$1:D$65536,4,FALSE)</f>
        <v>18.98</v>
      </c>
      <c r="G1216" s="93">
        <f t="shared" si="55"/>
        <v>56.94</v>
      </c>
    </row>
    <row r="1217" spans="1:7">
      <c r="A1217" s="172"/>
      <c r="B1217" s="171" t="s">
        <v>1427</v>
      </c>
      <c r="C1217" s="252" t="s">
        <v>1103</v>
      </c>
      <c r="D1217" s="3" t="s">
        <v>348</v>
      </c>
      <c r="E1217" s="93">
        <v>4</v>
      </c>
      <c r="F1217" s="93">
        <f>VLOOKUP(B1217,[3]Plan1!A$1:D$65536,4,FALSE)</f>
        <v>14.06</v>
      </c>
      <c r="G1217" s="93">
        <f t="shared" si="55"/>
        <v>56.24</v>
      </c>
    </row>
    <row r="1218" spans="1:7">
      <c r="A1218" s="172"/>
      <c r="B1218" s="171" t="s">
        <v>1428</v>
      </c>
      <c r="C1218" s="252" t="s">
        <v>1104</v>
      </c>
      <c r="D1218" s="3" t="s">
        <v>252</v>
      </c>
      <c r="E1218" s="93">
        <v>92</v>
      </c>
      <c r="F1218" s="93">
        <f>VLOOKUP(B1218,[3]Plan1!A$1:D$65536,4,FALSE)</f>
        <v>23.66</v>
      </c>
      <c r="G1218" s="93">
        <f t="shared" si="55"/>
        <v>2176.7199999999998</v>
      </c>
    </row>
    <row r="1219" spans="1:7">
      <c r="A1219" s="172"/>
      <c r="B1219" s="171">
        <v>168289</v>
      </c>
      <c r="C1219" s="252" t="s">
        <v>1329</v>
      </c>
      <c r="D1219" s="3" t="s">
        <v>348</v>
      </c>
      <c r="E1219" s="93">
        <v>84</v>
      </c>
      <c r="F1219" s="93">
        <v>32</v>
      </c>
      <c r="G1219" s="93">
        <f t="shared" si="55"/>
        <v>2688</v>
      </c>
    </row>
    <row r="1220" spans="1:7">
      <c r="A1220" s="172"/>
      <c r="B1220" s="172" t="s">
        <v>1429</v>
      </c>
      <c r="C1220" s="258" t="s">
        <v>1330</v>
      </c>
      <c r="D1220" s="3" t="s">
        <v>348</v>
      </c>
      <c r="E1220" s="92">
        <v>46</v>
      </c>
      <c r="F1220" s="93">
        <f>VLOOKUP(B1220,[3]Plan1!A$1:D$65536,4,FALSE)</f>
        <v>30.96</v>
      </c>
      <c r="G1220" s="93">
        <f t="shared" si="55"/>
        <v>1424.16</v>
      </c>
    </row>
    <row r="1221" spans="1:7">
      <c r="A1221" s="172"/>
      <c r="B1221" s="172">
        <v>169544</v>
      </c>
      <c r="C1221" s="258" t="s">
        <v>1331</v>
      </c>
      <c r="D1221" s="3" t="s">
        <v>348</v>
      </c>
      <c r="E1221" s="92">
        <v>2</v>
      </c>
      <c r="F1221" s="93">
        <v>22</v>
      </c>
      <c r="G1221" s="93">
        <f t="shared" si="55"/>
        <v>44</v>
      </c>
    </row>
    <row r="1222" spans="1:7">
      <c r="A1222" s="172"/>
      <c r="B1222" s="172" t="s">
        <v>1430</v>
      </c>
      <c r="C1222" s="258" t="s">
        <v>1105</v>
      </c>
      <c r="D1222" s="3" t="s">
        <v>348</v>
      </c>
      <c r="E1222" s="93">
        <v>15</v>
      </c>
      <c r="F1222" s="93">
        <f>VLOOKUP(B1222,[3]Plan1!A$1:D$65536,4,FALSE)</f>
        <v>825.52</v>
      </c>
      <c r="G1222" s="93">
        <f t="shared" si="55"/>
        <v>12382.8</v>
      </c>
    </row>
    <row r="1223" spans="1:7">
      <c r="A1223" s="172"/>
      <c r="B1223" s="172" t="s">
        <v>1431</v>
      </c>
      <c r="C1223" s="258" t="s">
        <v>1106</v>
      </c>
      <c r="D1223" s="3" t="s">
        <v>348</v>
      </c>
      <c r="E1223" s="93">
        <v>83</v>
      </c>
      <c r="F1223" s="93">
        <f>VLOOKUP(B1223,[3]Plan1!A$1:D$65536,4,FALSE)</f>
        <v>3.21</v>
      </c>
      <c r="G1223" s="93">
        <f t="shared" si="55"/>
        <v>266.43</v>
      </c>
    </row>
    <row r="1224" spans="1:7">
      <c r="A1224" s="172"/>
      <c r="B1224" s="172" t="s">
        <v>1432</v>
      </c>
      <c r="C1224" s="258" t="s">
        <v>1107</v>
      </c>
      <c r="D1224" s="3" t="s">
        <v>348</v>
      </c>
      <c r="E1224" s="93">
        <v>107</v>
      </c>
      <c r="F1224" s="93">
        <f>VLOOKUP(B1224,[3]Plan1!A$1:D$65536,4,FALSE)</f>
        <v>6.05</v>
      </c>
      <c r="G1224" s="93">
        <f t="shared" si="55"/>
        <v>647.35</v>
      </c>
    </row>
    <row r="1225" spans="1:7">
      <c r="A1225" s="172"/>
      <c r="B1225" s="172" t="s">
        <v>1433</v>
      </c>
      <c r="C1225" s="258" t="s">
        <v>1108</v>
      </c>
      <c r="D1225" s="3" t="s">
        <v>348</v>
      </c>
      <c r="E1225" s="93">
        <v>60</v>
      </c>
      <c r="F1225" s="93">
        <f>VLOOKUP(B1225,[3]Plan1!A$1:D$65536,4,FALSE)</f>
        <v>6.64</v>
      </c>
      <c r="G1225" s="93">
        <f t="shared" si="55"/>
        <v>398.4</v>
      </c>
    </row>
    <row r="1226" spans="1:7">
      <c r="A1226" s="172"/>
      <c r="B1226" s="172" t="s">
        <v>1434</v>
      </c>
      <c r="C1226" s="258" t="s">
        <v>1109</v>
      </c>
      <c r="D1226" s="3" t="s">
        <v>348</v>
      </c>
      <c r="E1226" s="93">
        <v>4</v>
      </c>
      <c r="F1226" s="93">
        <f>VLOOKUP(B1226,[3]Plan1!A$1:D$65536,4,FALSE)</f>
        <v>13.34</v>
      </c>
      <c r="G1226" s="93">
        <f t="shared" si="55"/>
        <v>53.36</v>
      </c>
    </row>
    <row r="1227" spans="1:7">
      <c r="A1227" s="172"/>
      <c r="B1227" s="172" t="s">
        <v>1435</v>
      </c>
      <c r="C1227" s="258" t="s">
        <v>1110</v>
      </c>
      <c r="D1227" s="3" t="s">
        <v>348</v>
      </c>
      <c r="E1227" s="93">
        <v>25</v>
      </c>
      <c r="F1227" s="93">
        <f>VLOOKUP(B1227,[3]Plan1!A$1:D$65536,4,FALSE)</f>
        <v>5.63</v>
      </c>
      <c r="G1227" s="93">
        <f t="shared" si="55"/>
        <v>140.75</v>
      </c>
    </row>
    <row r="1228" spans="1:7">
      <c r="A1228" s="172"/>
      <c r="B1228" s="172" t="s">
        <v>1436</v>
      </c>
      <c r="C1228" s="258" t="s">
        <v>1111</v>
      </c>
      <c r="D1228" s="3" t="s">
        <v>348</v>
      </c>
      <c r="E1228" s="93">
        <v>5</v>
      </c>
      <c r="F1228" s="93">
        <f>VLOOKUP(B1228,[3]Plan1!A$1:D$65536,4,FALSE)</f>
        <v>11.03</v>
      </c>
      <c r="G1228" s="93">
        <f t="shared" si="55"/>
        <v>55.15</v>
      </c>
    </row>
    <row r="1229" spans="1:7">
      <c r="A1229" s="172"/>
      <c r="B1229" s="172">
        <v>3005143</v>
      </c>
      <c r="C1229" s="258" t="s">
        <v>1112</v>
      </c>
      <c r="D1229" s="3" t="s">
        <v>348</v>
      </c>
      <c r="E1229" s="93">
        <v>4</v>
      </c>
      <c r="F1229" s="93">
        <v>6.96</v>
      </c>
      <c r="G1229" s="93">
        <f t="shared" si="55"/>
        <v>27.84</v>
      </c>
    </row>
    <row r="1230" spans="1:7">
      <c r="A1230" s="172"/>
      <c r="B1230" s="172" t="s">
        <v>1437</v>
      </c>
      <c r="C1230" s="258" t="s">
        <v>1113</v>
      </c>
      <c r="D1230" s="3" t="s">
        <v>348</v>
      </c>
      <c r="E1230" s="94">
        <v>45</v>
      </c>
      <c r="F1230" s="93">
        <f>VLOOKUP(B1230,[3]Plan1!A$1:D$65536,4,FALSE)</f>
        <v>3.16</v>
      </c>
      <c r="G1230" s="93">
        <f t="shared" si="55"/>
        <v>142.19999999999999</v>
      </c>
    </row>
    <row r="1231" spans="1:7">
      <c r="A1231" s="172"/>
      <c r="B1231" s="172" t="s">
        <v>1438</v>
      </c>
      <c r="C1231" s="258" t="s">
        <v>1114</v>
      </c>
      <c r="D1231" s="3" t="s">
        <v>348</v>
      </c>
      <c r="E1231" s="94">
        <v>129</v>
      </c>
      <c r="F1231" s="93">
        <f>VLOOKUP(B1231,[3]Plan1!A$1:D$65536,4,FALSE)</f>
        <v>10.95</v>
      </c>
      <c r="G1231" s="93">
        <f t="shared" si="55"/>
        <v>1412.55</v>
      </c>
    </row>
    <row r="1232" spans="1:7">
      <c r="A1232" s="172"/>
      <c r="B1232" s="172" t="s">
        <v>1439</v>
      </c>
      <c r="C1232" s="258" t="s">
        <v>1115</v>
      </c>
      <c r="D1232" s="3" t="s">
        <v>348</v>
      </c>
      <c r="E1232" s="94">
        <v>71</v>
      </c>
      <c r="F1232" s="93">
        <f>VLOOKUP(B1232,[3]Plan1!A$1:D$65536,4,FALSE)</f>
        <v>18.18</v>
      </c>
      <c r="G1232" s="93">
        <f t="shared" si="55"/>
        <v>1290.78</v>
      </c>
    </row>
    <row r="1233" spans="1:7">
      <c r="A1233" s="172"/>
      <c r="B1233" s="172" t="s">
        <v>1440</v>
      </c>
      <c r="C1233" s="258" t="s">
        <v>1116</v>
      </c>
      <c r="D1233" s="3" t="s">
        <v>348</v>
      </c>
      <c r="E1233" s="93">
        <v>26</v>
      </c>
      <c r="F1233" s="93">
        <f>VLOOKUP(B1233,[3]Plan1!A$1:D$65536,4,FALSE)</f>
        <v>5.09</v>
      </c>
      <c r="G1233" s="93">
        <f t="shared" si="55"/>
        <v>132.34</v>
      </c>
    </row>
    <row r="1234" spans="1:7">
      <c r="A1234" s="172"/>
      <c r="B1234" s="172">
        <v>3010139</v>
      </c>
      <c r="C1234" s="258" t="s">
        <v>1117</v>
      </c>
      <c r="D1234" s="3" t="s">
        <v>348</v>
      </c>
      <c r="E1234" s="93">
        <v>4</v>
      </c>
      <c r="F1234" s="93">
        <v>9.8699999999999992</v>
      </c>
      <c r="G1234" s="93">
        <f t="shared" si="55"/>
        <v>39.479999999999997</v>
      </c>
    </row>
    <row r="1235" spans="1:7">
      <c r="A1235" s="172"/>
      <c r="B1235" s="172">
        <v>3010147</v>
      </c>
      <c r="C1235" s="258" t="s">
        <v>1118</v>
      </c>
      <c r="D1235" s="3" t="s">
        <v>348</v>
      </c>
      <c r="E1235" s="93">
        <v>4</v>
      </c>
      <c r="F1235" s="93">
        <v>16.48</v>
      </c>
      <c r="G1235" s="93">
        <f t="shared" si="55"/>
        <v>65.92</v>
      </c>
    </row>
    <row r="1236" spans="1:7">
      <c r="A1236" s="172"/>
      <c r="B1236" s="172">
        <v>3010783</v>
      </c>
      <c r="C1236" s="258" t="s">
        <v>1119</v>
      </c>
      <c r="D1236" s="3" t="s">
        <v>1120</v>
      </c>
      <c r="E1236" s="93">
        <v>0.26</v>
      </c>
      <c r="F1236" s="93">
        <v>23.94</v>
      </c>
      <c r="G1236" s="93">
        <f t="shared" si="55"/>
        <v>6.22</v>
      </c>
    </row>
    <row r="1237" spans="1:7">
      <c r="A1237" s="172"/>
      <c r="B1237" s="172" t="s">
        <v>1441</v>
      </c>
      <c r="C1237" s="258" t="s">
        <v>1332</v>
      </c>
      <c r="D1237" s="3" t="s">
        <v>189</v>
      </c>
      <c r="E1237" s="93">
        <v>1060.5</v>
      </c>
      <c r="F1237" s="93">
        <f>VLOOKUP(B1237,[3]Plan1!A$1:D$65536,4,FALSE)</f>
        <v>15.15</v>
      </c>
      <c r="G1237" s="93">
        <f t="shared" si="55"/>
        <v>16066.57</v>
      </c>
    </row>
    <row r="1238" spans="1:7">
      <c r="A1238" s="172"/>
      <c r="B1238" s="172">
        <v>3012220</v>
      </c>
      <c r="C1238" s="258" t="s">
        <v>1121</v>
      </c>
      <c r="D1238" s="3" t="s">
        <v>246</v>
      </c>
      <c r="E1238" s="93">
        <v>19.86</v>
      </c>
      <c r="F1238" s="93">
        <v>14.05</v>
      </c>
      <c r="G1238" s="93">
        <f t="shared" si="55"/>
        <v>279.02999999999997</v>
      </c>
    </row>
    <row r="1239" spans="1:7">
      <c r="A1239" s="172"/>
      <c r="B1239" s="172">
        <v>3012247</v>
      </c>
      <c r="C1239" s="258" t="s">
        <v>1122</v>
      </c>
      <c r="D1239" s="3" t="s">
        <v>1120</v>
      </c>
      <c r="E1239" s="93">
        <v>1.5</v>
      </c>
      <c r="F1239" s="93">
        <v>15.16</v>
      </c>
      <c r="G1239" s="93">
        <f t="shared" si="55"/>
        <v>22.74</v>
      </c>
    </row>
    <row r="1240" spans="1:7">
      <c r="A1240" s="172"/>
      <c r="B1240" s="172">
        <v>3012255</v>
      </c>
      <c r="C1240" s="258" t="s">
        <v>1123</v>
      </c>
      <c r="D1240" s="3" t="s">
        <v>1120</v>
      </c>
      <c r="E1240" s="93">
        <v>9.51</v>
      </c>
      <c r="F1240" s="93">
        <v>15.16</v>
      </c>
      <c r="G1240" s="93">
        <f t="shared" si="55"/>
        <v>144.16999999999999</v>
      </c>
    </row>
    <row r="1241" spans="1:7">
      <c r="A1241" s="172"/>
      <c r="B1241" s="172" t="s">
        <v>1442</v>
      </c>
      <c r="C1241" s="258" t="s">
        <v>1124</v>
      </c>
      <c r="D1241" s="3" t="s">
        <v>1120</v>
      </c>
      <c r="E1241" s="93">
        <v>19.95</v>
      </c>
      <c r="F1241" s="93">
        <f>VLOOKUP(B1241,[3]Plan1!A$1:D$65536,4,FALSE)</f>
        <v>18.79</v>
      </c>
      <c r="G1241" s="93">
        <f t="shared" si="55"/>
        <v>374.86</v>
      </c>
    </row>
    <row r="1242" spans="1:7">
      <c r="A1242" s="172"/>
      <c r="B1242" s="172" t="s">
        <v>1443</v>
      </c>
      <c r="C1242" s="252" t="s">
        <v>1125</v>
      </c>
      <c r="D1242" s="3" t="s">
        <v>1120</v>
      </c>
      <c r="E1242" s="93">
        <v>93.4</v>
      </c>
      <c r="F1242" s="93">
        <f>VLOOKUP(B1242,[3]Plan1!A$1:D$65536,4,FALSE)</f>
        <v>4.66</v>
      </c>
      <c r="G1242" s="93">
        <f t="shared" si="55"/>
        <v>435.24</v>
      </c>
    </row>
    <row r="1243" spans="1:7">
      <c r="A1243" s="172"/>
      <c r="B1243" s="172">
        <v>3012859</v>
      </c>
      <c r="C1243" s="252" t="s">
        <v>1126</v>
      </c>
      <c r="D1243" s="3" t="s">
        <v>1120</v>
      </c>
      <c r="E1243" s="93">
        <v>109.76</v>
      </c>
      <c r="F1243" s="93">
        <v>14.42</v>
      </c>
      <c r="G1243" s="93">
        <f t="shared" si="55"/>
        <v>1582.73</v>
      </c>
    </row>
    <row r="1244" spans="1:7">
      <c r="A1244" s="172"/>
      <c r="B1244" s="172" t="s">
        <v>1444</v>
      </c>
      <c r="C1244" s="252" t="s">
        <v>1127</v>
      </c>
      <c r="D1244" s="3" t="s">
        <v>348</v>
      </c>
      <c r="E1244" s="93">
        <v>24</v>
      </c>
      <c r="F1244" s="93">
        <f>VLOOKUP(B1244,[3]Plan1!A$1:D$65536,4,FALSE)</f>
        <v>189.73</v>
      </c>
      <c r="G1244" s="93">
        <f t="shared" si="55"/>
        <v>4553.5200000000004</v>
      </c>
    </row>
    <row r="1245" spans="1:7">
      <c r="A1245" s="172"/>
      <c r="B1245" s="172" t="s">
        <v>1445</v>
      </c>
      <c r="C1245" s="252" t="s">
        <v>1128</v>
      </c>
      <c r="D1245" s="3" t="s">
        <v>348</v>
      </c>
      <c r="E1245" s="93">
        <v>3</v>
      </c>
      <c r="F1245" s="93">
        <f>VLOOKUP(B1245,[3]Plan1!A$1:D$65536,4,FALSE)</f>
        <v>4.32</v>
      </c>
      <c r="G1245" s="93">
        <f t="shared" si="55"/>
        <v>12.96</v>
      </c>
    </row>
    <row r="1246" spans="1:7">
      <c r="A1246" s="172"/>
      <c r="B1246" s="172" t="s">
        <v>1446</v>
      </c>
      <c r="C1246" s="252" t="s">
        <v>1129</v>
      </c>
      <c r="D1246" s="3" t="s">
        <v>348</v>
      </c>
      <c r="E1246" s="93">
        <v>1</v>
      </c>
      <c r="F1246" s="93">
        <f>VLOOKUP(B1246,[3]Plan1!A$1:D$65536,4,FALSE)</f>
        <v>33.46</v>
      </c>
      <c r="G1246" s="93">
        <f t="shared" si="55"/>
        <v>33.46</v>
      </c>
    </row>
    <row r="1247" spans="1:7">
      <c r="A1247" s="172"/>
      <c r="B1247" s="172" t="s">
        <v>1447</v>
      </c>
      <c r="C1247" s="252" t="s">
        <v>1130</v>
      </c>
      <c r="D1247" s="3" t="s">
        <v>348</v>
      </c>
      <c r="E1247" s="93">
        <v>2</v>
      </c>
      <c r="F1247" s="93">
        <f>VLOOKUP(B1247,[3]Plan1!A$1:D$65536,4,FALSE)</f>
        <v>34.659999999999997</v>
      </c>
      <c r="G1247" s="93">
        <f t="shared" si="55"/>
        <v>69.319999999999993</v>
      </c>
    </row>
    <row r="1248" spans="1:7">
      <c r="A1248" s="172"/>
      <c r="B1248" s="172" t="s">
        <v>1448</v>
      </c>
      <c r="C1248" s="252" t="s">
        <v>1131</v>
      </c>
      <c r="D1248" s="3" t="s">
        <v>348</v>
      </c>
      <c r="E1248" s="93">
        <v>15</v>
      </c>
      <c r="F1248" s="93">
        <f>VLOOKUP(B1248,[3]Plan1!A$1:D$65536,4,FALSE)</f>
        <v>22.06</v>
      </c>
      <c r="G1248" s="93">
        <f t="shared" si="55"/>
        <v>330.9</v>
      </c>
    </row>
    <row r="1249" spans="1:7">
      <c r="A1249" s="172"/>
      <c r="B1249" s="172" t="s">
        <v>1449</v>
      </c>
      <c r="C1249" s="252" t="s">
        <v>1132</v>
      </c>
      <c r="D1249" s="3" t="s">
        <v>348</v>
      </c>
      <c r="E1249" s="93">
        <v>3</v>
      </c>
      <c r="F1249" s="93">
        <f>VLOOKUP(B1249,[3]Plan1!A$1:D$65536,4,FALSE)</f>
        <v>60.89</v>
      </c>
      <c r="G1249" s="93">
        <f t="shared" si="55"/>
        <v>182.67</v>
      </c>
    </row>
    <row r="1250" spans="1:7">
      <c r="A1250" s="172"/>
      <c r="B1250" s="172" t="s">
        <v>1450</v>
      </c>
      <c r="C1250" s="252" t="s">
        <v>1333</v>
      </c>
      <c r="D1250" s="3" t="s">
        <v>246</v>
      </c>
      <c r="E1250" s="93">
        <v>61.81</v>
      </c>
      <c r="F1250" s="93">
        <f>VLOOKUP(B1250,[3]Plan1!A$1:D$65536,4,FALSE)</f>
        <v>50.4</v>
      </c>
      <c r="G1250" s="93">
        <f t="shared" si="55"/>
        <v>3115.22</v>
      </c>
    </row>
    <row r="1251" spans="1:7">
      <c r="A1251" s="172"/>
      <c r="B1251" s="172" t="s">
        <v>1451</v>
      </c>
      <c r="C1251" s="252" t="s">
        <v>1133</v>
      </c>
      <c r="D1251" s="3" t="s">
        <v>348</v>
      </c>
      <c r="E1251" s="93">
        <v>45</v>
      </c>
      <c r="F1251" s="93">
        <f>VLOOKUP(B1251,[3]Plan1!A$1:D$65536,4,FALSE)</f>
        <v>44.74</v>
      </c>
      <c r="G1251" s="93">
        <f t="shared" si="55"/>
        <v>2013.3</v>
      </c>
    </row>
    <row r="1252" spans="1:7">
      <c r="A1252" s="172"/>
      <c r="B1252" s="172">
        <v>7349858</v>
      </c>
      <c r="C1252" s="252" t="s">
        <v>1134</v>
      </c>
      <c r="D1252" s="3" t="s">
        <v>189</v>
      </c>
      <c r="E1252" s="93">
        <v>809.01</v>
      </c>
      <c r="F1252" s="93">
        <v>14.62</v>
      </c>
      <c r="G1252" s="93">
        <f t="shared" si="55"/>
        <v>11827.72</v>
      </c>
    </row>
    <row r="1253" spans="1:7">
      <c r="A1253" s="172"/>
      <c r="B1253" s="172">
        <v>7349866</v>
      </c>
      <c r="C1253" s="252" t="s">
        <v>1135</v>
      </c>
      <c r="D1253" s="3" t="s">
        <v>189</v>
      </c>
      <c r="E1253" s="93">
        <v>1166.55</v>
      </c>
      <c r="F1253" s="93">
        <v>4.46</v>
      </c>
      <c r="G1253" s="93">
        <f t="shared" si="55"/>
        <v>5202.8100000000004</v>
      </c>
    </row>
    <row r="1254" spans="1:7">
      <c r="A1254" s="172"/>
      <c r="B1254" s="172" t="s">
        <v>1452</v>
      </c>
      <c r="C1254" s="252" t="s">
        <v>1334</v>
      </c>
      <c r="D1254" s="3" t="s">
        <v>348</v>
      </c>
      <c r="E1254" s="93">
        <v>77</v>
      </c>
      <c r="F1254" s="93">
        <f>VLOOKUP(B1254,[3]Plan1!A$1:D$65536,4,FALSE)</f>
        <v>17.309999999999999</v>
      </c>
      <c r="G1254" s="93">
        <f t="shared" si="55"/>
        <v>1332.87</v>
      </c>
    </row>
    <row r="1255" spans="1:7">
      <c r="A1255" s="172"/>
      <c r="B1255" s="172" t="s">
        <v>1453</v>
      </c>
      <c r="C1255" s="252" t="s">
        <v>1136</v>
      </c>
      <c r="D1255" s="3" t="s">
        <v>348</v>
      </c>
      <c r="E1255" s="93">
        <v>6</v>
      </c>
      <c r="F1255" s="93">
        <f>VLOOKUP(B1255,[3]Plan1!A$1:D$65536,4,FALSE)</f>
        <v>8.2799999999999994</v>
      </c>
      <c r="G1255" s="93">
        <f t="shared" si="55"/>
        <v>49.68</v>
      </c>
    </row>
    <row r="1256" spans="1:7">
      <c r="A1256" s="172"/>
      <c r="B1256" s="172" t="s">
        <v>1454</v>
      </c>
      <c r="C1256" s="252" t="s">
        <v>1137</v>
      </c>
      <c r="D1256" s="3" t="s">
        <v>348</v>
      </c>
      <c r="E1256" s="93">
        <v>21</v>
      </c>
      <c r="F1256" s="93">
        <f>VLOOKUP(B1256,[3]Plan1!A$1:D$65536,4,FALSE)</f>
        <v>8.4600000000000009</v>
      </c>
      <c r="G1256" s="93">
        <f t="shared" si="55"/>
        <v>177.66</v>
      </c>
    </row>
    <row r="1257" spans="1:7">
      <c r="A1257" s="172"/>
      <c r="B1257" s="172" t="s">
        <v>1455</v>
      </c>
      <c r="C1257" s="258" t="s">
        <v>1138</v>
      </c>
      <c r="D1257" s="3" t="s">
        <v>348</v>
      </c>
      <c r="E1257" s="93">
        <v>11</v>
      </c>
      <c r="F1257" s="93">
        <f>VLOOKUP(B1257,[3]Plan1!A$1:D$65536,4,FALSE)</f>
        <v>13.46</v>
      </c>
      <c r="G1257" s="93">
        <f t="shared" si="55"/>
        <v>148.06</v>
      </c>
    </row>
    <row r="1258" spans="1:7">
      <c r="A1258" s="172"/>
      <c r="B1258" s="172" t="s">
        <v>1456</v>
      </c>
      <c r="C1258" s="252" t="s">
        <v>1139</v>
      </c>
      <c r="D1258" s="3" t="s">
        <v>348</v>
      </c>
      <c r="E1258" s="93">
        <v>24</v>
      </c>
      <c r="F1258" s="93">
        <f>VLOOKUP(B1258,[3]Plan1!A$1:D$65536,4,FALSE)</f>
        <v>14.06</v>
      </c>
      <c r="G1258" s="93">
        <f t="shared" si="55"/>
        <v>337.44</v>
      </c>
    </row>
    <row r="1259" spans="1:7">
      <c r="A1259" s="172"/>
      <c r="B1259" s="172" t="s">
        <v>1457</v>
      </c>
      <c r="C1259" s="252" t="s">
        <v>1140</v>
      </c>
      <c r="D1259" s="3" t="s">
        <v>348</v>
      </c>
      <c r="E1259" s="93">
        <v>30</v>
      </c>
      <c r="F1259" s="93">
        <f>VLOOKUP(B1259,[3]Plan1!A$1:D$65536,4,FALSE)</f>
        <v>13.46</v>
      </c>
      <c r="G1259" s="93">
        <f t="shared" si="55"/>
        <v>403.8</v>
      </c>
    </row>
    <row r="1260" spans="1:7">
      <c r="A1260" s="172"/>
      <c r="B1260" s="172" t="s">
        <v>1458</v>
      </c>
      <c r="C1260" s="252" t="s">
        <v>1141</v>
      </c>
      <c r="D1260" s="3" t="s">
        <v>348</v>
      </c>
      <c r="E1260" s="93">
        <v>8</v>
      </c>
      <c r="F1260" s="93">
        <f>VLOOKUP(B1260,[3]Plan1!A$1:D$65536,4,FALSE)</f>
        <v>14.06</v>
      </c>
      <c r="G1260" s="93">
        <f t="shared" si="55"/>
        <v>112.48</v>
      </c>
    </row>
    <row r="1261" spans="1:7">
      <c r="A1261" s="172"/>
      <c r="B1261" s="172">
        <v>7382375</v>
      </c>
      <c r="C1261" s="252" t="s">
        <v>1142</v>
      </c>
      <c r="D1261" s="3" t="s">
        <v>348</v>
      </c>
      <c r="E1261" s="93">
        <v>1</v>
      </c>
      <c r="F1261" s="93">
        <v>46.62</v>
      </c>
      <c r="G1261" s="93">
        <f t="shared" si="55"/>
        <v>46.62</v>
      </c>
    </row>
    <row r="1262" spans="1:7">
      <c r="A1262" s="172"/>
      <c r="B1262" s="172" t="s">
        <v>1459</v>
      </c>
      <c r="C1262" s="252" t="s">
        <v>1143</v>
      </c>
      <c r="D1262" s="3" t="s">
        <v>348</v>
      </c>
      <c r="E1262" s="93">
        <v>45</v>
      </c>
      <c r="F1262" s="93">
        <f>VLOOKUP(B1262,[3]Plan1!A$1:D$65536,4,FALSE)</f>
        <v>641.01</v>
      </c>
      <c r="G1262" s="93">
        <f t="shared" si="55"/>
        <v>28845.45</v>
      </c>
    </row>
    <row r="1263" spans="1:7">
      <c r="A1263" s="172"/>
      <c r="B1263" s="172" t="s">
        <v>1460</v>
      </c>
      <c r="C1263" s="252" t="s">
        <v>1144</v>
      </c>
      <c r="D1263" s="3" t="s">
        <v>348</v>
      </c>
      <c r="E1263" s="93">
        <v>17</v>
      </c>
      <c r="F1263" s="93">
        <f>VLOOKUP(B1263,[3]Plan1!A$1:D$65536,4,FALSE)</f>
        <v>825.84</v>
      </c>
      <c r="G1263" s="93">
        <f t="shared" si="55"/>
        <v>14039.28</v>
      </c>
    </row>
    <row r="1264" spans="1:7">
      <c r="A1264" s="172"/>
      <c r="B1264" s="172" t="s">
        <v>1461</v>
      </c>
      <c r="C1264" s="252" t="s">
        <v>1145</v>
      </c>
      <c r="D1264" s="3" t="s">
        <v>348</v>
      </c>
      <c r="E1264" s="93">
        <v>1</v>
      </c>
      <c r="F1264" s="93">
        <f>VLOOKUP(B1264,[3]Plan1!A$1:D$65536,4,FALSE)</f>
        <v>1073.68</v>
      </c>
      <c r="G1264" s="93">
        <f t="shared" si="55"/>
        <v>1073.68</v>
      </c>
    </row>
    <row r="1265" spans="1:7">
      <c r="A1265" s="172"/>
      <c r="B1265" s="172" t="s">
        <v>1462</v>
      </c>
      <c r="C1265" s="252" t="s">
        <v>1146</v>
      </c>
      <c r="D1265" s="3" t="s">
        <v>348</v>
      </c>
      <c r="E1265" s="93">
        <v>20</v>
      </c>
      <c r="F1265" s="93">
        <f>VLOOKUP(B1265,[3]Plan1!A$1:D$65536,4,FALSE)</f>
        <v>1009.32</v>
      </c>
      <c r="G1265" s="93">
        <f t="shared" si="55"/>
        <v>20186.400000000001</v>
      </c>
    </row>
    <row r="1266" spans="1:7">
      <c r="A1266" s="172"/>
      <c r="B1266" s="172" t="s">
        <v>1463</v>
      </c>
      <c r="C1266" s="252" t="s">
        <v>1147</v>
      </c>
      <c r="D1266" s="3" t="s">
        <v>348</v>
      </c>
      <c r="E1266" s="93">
        <v>11</v>
      </c>
      <c r="F1266" s="93">
        <f>VLOOKUP(B1266,[3]Plan1!A$1:D$65536,4,FALSE)</f>
        <v>1311.29</v>
      </c>
      <c r="G1266" s="93">
        <f t="shared" si="55"/>
        <v>14424.19</v>
      </c>
    </row>
    <row r="1267" spans="1:7">
      <c r="A1267" s="172"/>
      <c r="B1267" s="172" t="s">
        <v>1464</v>
      </c>
      <c r="C1267" s="252" t="s">
        <v>1148</v>
      </c>
      <c r="D1267" s="3" t="s">
        <v>348</v>
      </c>
      <c r="E1267" s="93">
        <v>2</v>
      </c>
      <c r="F1267" s="93">
        <f>VLOOKUP(B1267,[3]Plan1!A$1:D$65536,4,FALSE)</f>
        <v>2238.87</v>
      </c>
      <c r="G1267" s="93">
        <f t="shared" si="55"/>
        <v>4477.74</v>
      </c>
    </row>
    <row r="1268" spans="1:7">
      <c r="A1268" s="172"/>
      <c r="B1268" s="172" t="s">
        <v>1465</v>
      </c>
      <c r="C1268" s="252" t="s">
        <v>1149</v>
      </c>
      <c r="D1268" s="3" t="s">
        <v>348</v>
      </c>
      <c r="E1268" s="93">
        <v>3</v>
      </c>
      <c r="F1268" s="93">
        <f>VLOOKUP(B1268,[3]Plan1!A$1:D$65536,4,FALSE)</f>
        <v>3563.83</v>
      </c>
      <c r="G1268" s="93">
        <f t="shared" si="55"/>
        <v>10691.49</v>
      </c>
    </row>
    <row r="1269" spans="1:7">
      <c r="A1269" s="172"/>
      <c r="B1269" s="172" t="s">
        <v>1466</v>
      </c>
      <c r="C1269" s="252" t="s">
        <v>1150</v>
      </c>
      <c r="D1269" s="3" t="s">
        <v>348</v>
      </c>
      <c r="E1269" s="93">
        <v>1</v>
      </c>
      <c r="F1269" s="93">
        <f>VLOOKUP(B1269,[3]Plan1!A$1:D$65536,4,FALSE)</f>
        <v>1993.38</v>
      </c>
      <c r="G1269" s="93">
        <f t="shared" si="55"/>
        <v>1993.38</v>
      </c>
    </row>
    <row r="1270" spans="1:7">
      <c r="A1270" s="172"/>
      <c r="B1270" s="172" t="s">
        <v>1467</v>
      </c>
      <c r="C1270" s="252" t="s">
        <v>1151</v>
      </c>
      <c r="D1270" s="3" t="s">
        <v>348</v>
      </c>
      <c r="E1270" s="93">
        <v>1</v>
      </c>
      <c r="F1270" s="93">
        <f>VLOOKUP(B1270,[3]Plan1!A$1:D$65536,4,FALSE)</f>
        <v>2814.3</v>
      </c>
      <c r="G1270" s="93">
        <f t="shared" si="55"/>
        <v>2814.3</v>
      </c>
    </row>
    <row r="1271" spans="1:7">
      <c r="A1271" s="172"/>
      <c r="B1271" s="172" t="s">
        <v>1468</v>
      </c>
      <c r="C1271" s="252" t="s">
        <v>1335</v>
      </c>
      <c r="D1271" s="3" t="s">
        <v>189</v>
      </c>
      <c r="E1271" s="93">
        <v>125.5</v>
      </c>
      <c r="F1271" s="93">
        <f>VLOOKUP(B1271,[3]Plan1!A$1:D$65536,4,FALSE)</f>
        <v>17.48</v>
      </c>
      <c r="G1271" s="93">
        <f t="shared" si="55"/>
        <v>2193.7399999999998</v>
      </c>
    </row>
    <row r="1272" spans="1:7">
      <c r="A1272" s="172"/>
      <c r="B1272" s="172" t="s">
        <v>1469</v>
      </c>
      <c r="C1272" s="252" t="s">
        <v>1336</v>
      </c>
      <c r="D1272" s="3" t="s">
        <v>189</v>
      </c>
      <c r="E1272" s="93">
        <v>2660.34</v>
      </c>
      <c r="F1272" s="93">
        <f>VLOOKUP(B1272,[3]Plan1!A$1:D$65536,4,FALSE)</f>
        <v>23.42</v>
      </c>
      <c r="G1272" s="93">
        <f t="shared" si="55"/>
        <v>62305.16</v>
      </c>
    </row>
    <row r="1273" spans="1:7">
      <c r="A1273" s="172"/>
      <c r="B1273" s="172">
        <v>8108757</v>
      </c>
      <c r="C1273" s="252" t="s">
        <v>1152</v>
      </c>
      <c r="D1273" s="3" t="s">
        <v>189</v>
      </c>
      <c r="E1273" s="93">
        <v>84.84</v>
      </c>
      <c r="F1273" s="93">
        <v>18.899999999999999</v>
      </c>
      <c r="G1273" s="93">
        <f t="shared" si="55"/>
        <v>1603.47</v>
      </c>
    </row>
    <row r="1274" spans="1:7">
      <c r="A1274" s="172"/>
      <c r="B1274" s="172" t="s">
        <v>1470</v>
      </c>
      <c r="C1274" s="252" t="s">
        <v>1153</v>
      </c>
      <c r="D1274" s="3" t="s">
        <v>348</v>
      </c>
      <c r="E1274" s="93">
        <v>67</v>
      </c>
      <c r="F1274" s="93">
        <f>VLOOKUP(B1274,[3]Plan1!A$1:D$65536,4,FALSE)</f>
        <v>91.89</v>
      </c>
      <c r="G1274" s="93">
        <f t="shared" si="55"/>
        <v>6156.63</v>
      </c>
    </row>
    <row r="1275" spans="1:7">
      <c r="A1275" s="50"/>
      <c r="B1275" s="172" t="s">
        <v>1471</v>
      </c>
      <c r="C1275" s="252" t="s">
        <v>1154</v>
      </c>
      <c r="D1275" s="3" t="s">
        <v>348</v>
      </c>
      <c r="E1275" s="93">
        <v>134</v>
      </c>
      <c r="F1275" s="93">
        <f>VLOOKUP(B1275,[3]Plan1!A$1:D$65536,4,FALSE)</f>
        <v>13.84</v>
      </c>
      <c r="G1275" s="93">
        <f t="shared" si="55"/>
        <v>1854.56</v>
      </c>
    </row>
    <row r="1276" spans="1:7">
      <c r="A1276" s="50"/>
      <c r="B1276" s="172">
        <v>8115630</v>
      </c>
      <c r="C1276" s="252" t="s">
        <v>1155</v>
      </c>
      <c r="D1276" s="3" t="s">
        <v>348</v>
      </c>
      <c r="E1276" s="93">
        <v>129</v>
      </c>
      <c r="F1276" s="93">
        <v>47.4</v>
      </c>
      <c r="G1276" s="93">
        <f t="shared" si="55"/>
        <v>6114.6</v>
      </c>
    </row>
    <row r="1277" spans="1:7">
      <c r="A1277" s="50"/>
      <c r="B1277" s="172" t="s">
        <v>1472</v>
      </c>
      <c r="C1277" s="252" t="s">
        <v>1156</v>
      </c>
      <c r="D1277" s="3" t="s">
        <v>348</v>
      </c>
      <c r="E1277" s="93">
        <v>106</v>
      </c>
      <c r="F1277" s="93">
        <f>VLOOKUP(B1277,[3]Plan1!A$1:D$65536,4,FALSE)</f>
        <v>10.06</v>
      </c>
      <c r="G1277" s="93">
        <f t="shared" si="55"/>
        <v>1066.3599999999999</v>
      </c>
    </row>
    <row r="1278" spans="1:7">
      <c r="A1278" s="50"/>
      <c r="B1278" s="172" t="s">
        <v>1473</v>
      </c>
      <c r="C1278" s="252" t="s">
        <v>1157</v>
      </c>
      <c r="D1278" s="3" t="s">
        <v>348</v>
      </c>
      <c r="E1278" s="93">
        <v>10</v>
      </c>
      <c r="F1278" s="93">
        <f>VLOOKUP(B1278,[3]Plan1!A$1:D$65536,4,FALSE)</f>
        <v>83.58</v>
      </c>
      <c r="G1278" s="93">
        <f t="shared" si="55"/>
        <v>835.8</v>
      </c>
    </row>
    <row r="1279" spans="1:7">
      <c r="A1279" s="50"/>
      <c r="B1279" s="172">
        <v>8117225</v>
      </c>
      <c r="C1279" s="252" t="s">
        <v>1158</v>
      </c>
      <c r="D1279" s="3" t="s">
        <v>348</v>
      </c>
      <c r="E1279" s="93">
        <v>2</v>
      </c>
      <c r="F1279" s="93">
        <v>38</v>
      </c>
      <c r="G1279" s="93">
        <f t="shared" si="55"/>
        <v>76</v>
      </c>
    </row>
    <row r="1280" spans="1:7">
      <c r="A1280" s="50"/>
      <c r="B1280" s="172">
        <v>8118000</v>
      </c>
      <c r="C1280" s="252" t="s">
        <v>1159</v>
      </c>
      <c r="D1280" s="3" t="s">
        <v>348</v>
      </c>
      <c r="E1280" s="93">
        <v>20</v>
      </c>
      <c r="F1280" s="93">
        <v>2.8</v>
      </c>
      <c r="G1280" s="93">
        <f t="shared" si="55"/>
        <v>56</v>
      </c>
    </row>
    <row r="1281" spans="1:7">
      <c r="A1281" s="50"/>
      <c r="B1281" s="172" t="s">
        <v>1474</v>
      </c>
      <c r="C1281" s="252" t="s">
        <v>1160</v>
      </c>
      <c r="D1281" s="3" t="s">
        <v>348</v>
      </c>
      <c r="E1281" s="93">
        <v>6</v>
      </c>
      <c r="F1281" s="93">
        <f>VLOOKUP(B1281,[3]Plan1!A$1:D$65536,4,FALSE)</f>
        <v>3.44</v>
      </c>
      <c r="G1281" s="93">
        <f t="shared" si="55"/>
        <v>20.64</v>
      </c>
    </row>
    <row r="1282" spans="1:7">
      <c r="A1282" s="50"/>
      <c r="B1282" s="172" t="s">
        <v>1475</v>
      </c>
      <c r="C1282" s="252" t="s">
        <v>1161</v>
      </c>
      <c r="D1282" s="3" t="s">
        <v>348</v>
      </c>
      <c r="E1282" s="93">
        <v>138</v>
      </c>
      <c r="F1282" s="93">
        <f>VLOOKUP(B1282,[3]Plan1!A$1:D$65536,4,FALSE)</f>
        <v>4.99</v>
      </c>
      <c r="G1282" s="93">
        <f t="shared" si="55"/>
        <v>688.62</v>
      </c>
    </row>
    <row r="1283" spans="1:7">
      <c r="A1283" s="50"/>
      <c r="B1283" s="172" t="s">
        <v>1476</v>
      </c>
      <c r="C1283" s="252" t="s">
        <v>1162</v>
      </c>
      <c r="D1283" s="3" t="s">
        <v>348</v>
      </c>
      <c r="E1283" s="93">
        <v>9</v>
      </c>
      <c r="F1283" s="93">
        <f>VLOOKUP(B1283,[3]Plan1!A$1:D$65536,4,FALSE)</f>
        <v>5.4</v>
      </c>
      <c r="G1283" s="93">
        <f t="shared" si="55"/>
        <v>48.6</v>
      </c>
    </row>
    <row r="1284" spans="1:7">
      <c r="A1284" s="50"/>
      <c r="B1284" s="172" t="s">
        <v>1477</v>
      </c>
      <c r="C1284" s="252" t="s">
        <v>1163</v>
      </c>
      <c r="D1284" s="3" t="s">
        <v>348</v>
      </c>
      <c r="E1284" s="93">
        <v>207</v>
      </c>
      <c r="F1284" s="93">
        <f>VLOOKUP(B1284,[3]Plan1!A$1:D$65536,4,FALSE)</f>
        <v>5.97</v>
      </c>
      <c r="G1284" s="93">
        <f t="shared" ref="G1284:G1343" si="56">TRUNC(E1284*F1284,2)</f>
        <v>1235.79</v>
      </c>
    </row>
    <row r="1285" spans="1:7">
      <c r="A1285" s="50"/>
      <c r="B1285" s="172" t="s">
        <v>1478</v>
      </c>
      <c r="C1285" s="252" t="s">
        <v>1164</v>
      </c>
      <c r="D1285" s="3" t="s">
        <v>348</v>
      </c>
      <c r="E1285" s="93">
        <v>90</v>
      </c>
      <c r="F1285" s="93">
        <f>VLOOKUP(B1285,[3]Plan1!A$1:D$65536,4,FALSE)</f>
        <v>6.42</v>
      </c>
      <c r="G1285" s="93">
        <f t="shared" si="56"/>
        <v>577.79999999999995</v>
      </c>
    </row>
    <row r="1286" spans="1:7">
      <c r="A1286" s="50"/>
      <c r="B1286" s="172" t="s">
        <v>1479</v>
      </c>
      <c r="C1286" s="252" t="s">
        <v>1165</v>
      </c>
      <c r="D1286" s="3" t="s">
        <v>348</v>
      </c>
      <c r="E1286" s="93">
        <v>51</v>
      </c>
      <c r="F1286" s="93">
        <f>VLOOKUP(B1286,[3]Plan1!A$1:D$65536,4,FALSE)</f>
        <v>7.9</v>
      </c>
      <c r="G1286" s="93">
        <f t="shared" si="56"/>
        <v>402.9</v>
      </c>
    </row>
    <row r="1287" spans="1:7">
      <c r="A1287" s="50"/>
      <c r="B1287" s="172" t="s">
        <v>1480</v>
      </c>
      <c r="C1287" s="252" t="s">
        <v>1166</v>
      </c>
      <c r="D1287" s="3" t="s">
        <v>348</v>
      </c>
      <c r="E1287" s="93">
        <v>19</v>
      </c>
      <c r="F1287" s="93">
        <f>VLOOKUP(B1287,[3]Plan1!A$1:D$65536,4,FALSE)</f>
        <v>7.84</v>
      </c>
      <c r="G1287" s="93">
        <f t="shared" si="56"/>
        <v>148.96</v>
      </c>
    </row>
    <row r="1288" spans="1:7">
      <c r="A1288" s="50"/>
      <c r="B1288" s="172" t="s">
        <v>1481</v>
      </c>
      <c r="C1288" s="252" t="s">
        <v>1167</v>
      </c>
      <c r="D1288" s="3" t="s">
        <v>348</v>
      </c>
      <c r="E1288" s="93">
        <v>9</v>
      </c>
      <c r="F1288" s="93">
        <f>VLOOKUP(B1288,[3]Plan1!A$1:D$65536,4,FALSE)</f>
        <v>8.66</v>
      </c>
      <c r="G1288" s="93">
        <f t="shared" si="56"/>
        <v>77.94</v>
      </c>
    </row>
    <row r="1289" spans="1:7">
      <c r="A1289" s="50"/>
      <c r="B1289" s="172" t="s">
        <v>1482</v>
      </c>
      <c r="C1289" s="252" t="s">
        <v>1168</v>
      </c>
      <c r="D1289" s="3" t="s">
        <v>348</v>
      </c>
      <c r="E1289" s="93">
        <v>1</v>
      </c>
      <c r="F1289" s="93">
        <f>VLOOKUP(B1289,[3]Plan1!A$1:D$65536,4,FALSE)</f>
        <v>9.65</v>
      </c>
      <c r="G1289" s="93">
        <f t="shared" si="56"/>
        <v>9.65</v>
      </c>
    </row>
    <row r="1290" spans="1:7">
      <c r="A1290" s="50"/>
      <c r="B1290" s="172" t="s">
        <v>1483</v>
      </c>
      <c r="C1290" s="252" t="s">
        <v>1169</v>
      </c>
      <c r="D1290" s="3" t="s">
        <v>348</v>
      </c>
      <c r="E1290" s="93">
        <v>2</v>
      </c>
      <c r="F1290" s="93">
        <f>VLOOKUP(B1290,[3]Plan1!A$1:D$65536,4,FALSE)</f>
        <v>10.17</v>
      </c>
      <c r="G1290" s="93">
        <f t="shared" si="56"/>
        <v>20.34</v>
      </c>
    </row>
    <row r="1291" spans="1:7">
      <c r="A1291" s="50"/>
      <c r="B1291" s="172" t="s">
        <v>1484</v>
      </c>
      <c r="C1291" s="252" t="s">
        <v>1170</v>
      </c>
      <c r="D1291" s="3" t="s">
        <v>348</v>
      </c>
      <c r="E1291" s="93">
        <v>22</v>
      </c>
      <c r="F1291" s="93">
        <f>VLOOKUP(B1291,[3]Plan1!A$1:D$65536,4,FALSE)</f>
        <v>6.74</v>
      </c>
      <c r="G1291" s="93">
        <f t="shared" si="56"/>
        <v>148.28</v>
      </c>
    </row>
    <row r="1292" spans="1:7">
      <c r="A1292" s="50"/>
      <c r="B1292" s="172" t="s">
        <v>1485</v>
      </c>
      <c r="C1292" s="252" t="s">
        <v>1171</v>
      </c>
      <c r="D1292" s="3" t="s">
        <v>348</v>
      </c>
      <c r="E1292" s="93">
        <v>10</v>
      </c>
      <c r="F1292" s="93">
        <f>VLOOKUP(B1292,[3]Plan1!A$1:D$65536,4,FALSE)</f>
        <v>7.34</v>
      </c>
      <c r="G1292" s="93">
        <f t="shared" si="56"/>
        <v>73.400000000000006</v>
      </c>
    </row>
    <row r="1293" spans="1:7">
      <c r="A1293" s="50"/>
      <c r="B1293" s="172" t="s">
        <v>1486</v>
      </c>
      <c r="C1293" s="252" t="s">
        <v>1172</v>
      </c>
      <c r="D1293" s="3" t="s">
        <v>348</v>
      </c>
      <c r="E1293" s="93">
        <v>19</v>
      </c>
      <c r="F1293" s="93">
        <f>VLOOKUP(B1293,[3]Plan1!A$1:D$65536,4,FALSE)</f>
        <v>8.14</v>
      </c>
      <c r="G1293" s="93">
        <f t="shared" si="56"/>
        <v>154.66</v>
      </c>
    </row>
    <row r="1294" spans="1:7">
      <c r="A1294" s="50"/>
      <c r="B1294" s="172" t="s">
        <v>1487</v>
      </c>
      <c r="C1294" s="252" t="s">
        <v>1173</v>
      </c>
      <c r="D1294" s="3" t="s">
        <v>348</v>
      </c>
      <c r="E1294" s="93">
        <v>13</v>
      </c>
      <c r="F1294" s="93">
        <f>VLOOKUP(B1294,[3]Plan1!A$1:D$65536,4,FALSE)</f>
        <v>9.11</v>
      </c>
      <c r="G1294" s="93">
        <f t="shared" si="56"/>
        <v>118.43</v>
      </c>
    </row>
    <row r="1295" spans="1:7">
      <c r="A1295" s="50"/>
      <c r="B1295" s="172" t="s">
        <v>1488</v>
      </c>
      <c r="C1295" s="252" t="s">
        <v>1174</v>
      </c>
      <c r="D1295" s="3" t="s">
        <v>348</v>
      </c>
      <c r="E1295" s="93">
        <v>7</v>
      </c>
      <c r="F1295" s="93">
        <f>VLOOKUP(B1295,[3]Plan1!A$1:D$65536,4,FALSE)</f>
        <v>10.210000000000001</v>
      </c>
      <c r="G1295" s="93">
        <f t="shared" si="56"/>
        <v>71.47</v>
      </c>
    </row>
    <row r="1296" spans="1:7">
      <c r="A1296" s="50"/>
      <c r="B1296" s="172" t="s">
        <v>1489</v>
      </c>
      <c r="C1296" s="252" t="s">
        <v>1175</v>
      </c>
      <c r="D1296" s="3" t="s">
        <v>348</v>
      </c>
      <c r="E1296" s="93">
        <v>15</v>
      </c>
      <c r="F1296" s="93">
        <f>VLOOKUP(B1296,[3]Plan1!A$1:D$65536,4,FALSE)</f>
        <v>10.95</v>
      </c>
      <c r="G1296" s="93">
        <f t="shared" si="56"/>
        <v>164.25</v>
      </c>
    </row>
    <row r="1297" spans="1:7">
      <c r="A1297" s="50"/>
      <c r="B1297" s="172" t="s">
        <v>1490</v>
      </c>
      <c r="C1297" s="252" t="s">
        <v>1176</v>
      </c>
      <c r="D1297" s="3" t="s">
        <v>348</v>
      </c>
      <c r="E1297" s="93">
        <v>20</v>
      </c>
      <c r="F1297" s="93">
        <f>VLOOKUP(B1297,[3]Plan1!A$1:D$65536,4,FALSE)</f>
        <v>10.98</v>
      </c>
      <c r="G1297" s="93">
        <f t="shared" si="56"/>
        <v>219.6</v>
      </c>
    </row>
    <row r="1298" spans="1:7">
      <c r="A1298" s="50"/>
      <c r="B1298" s="172" t="s">
        <v>1491</v>
      </c>
      <c r="C1298" s="252" t="s">
        <v>1177</v>
      </c>
      <c r="D1298" s="3" t="s">
        <v>348</v>
      </c>
      <c r="E1298" s="93">
        <v>3</v>
      </c>
      <c r="F1298" s="93">
        <f>VLOOKUP(B1298,[3]Plan1!A$1:D$65536,4,FALSE)</f>
        <v>11.86</v>
      </c>
      <c r="G1298" s="93">
        <f t="shared" si="56"/>
        <v>35.58</v>
      </c>
    </row>
    <row r="1299" spans="1:7">
      <c r="A1299" s="50"/>
      <c r="B1299" s="172">
        <v>8118639</v>
      </c>
      <c r="C1299" s="252" t="s">
        <v>1178</v>
      </c>
      <c r="D1299" s="3" t="s">
        <v>348</v>
      </c>
      <c r="E1299" s="93">
        <v>15</v>
      </c>
      <c r="F1299" s="93">
        <v>15.81</v>
      </c>
      <c r="G1299" s="93">
        <f t="shared" si="56"/>
        <v>237.15</v>
      </c>
    </row>
    <row r="1300" spans="1:7">
      <c r="A1300" s="50"/>
      <c r="B1300" s="172" t="s">
        <v>1492</v>
      </c>
      <c r="C1300" s="252" t="s">
        <v>1179</v>
      </c>
      <c r="D1300" s="3" t="s">
        <v>348</v>
      </c>
      <c r="E1300" s="93">
        <v>20</v>
      </c>
      <c r="F1300" s="93">
        <f>VLOOKUP(B1300,[3]Plan1!A$1:D$65536,4,FALSE)</f>
        <v>3.13</v>
      </c>
      <c r="G1300" s="93">
        <f t="shared" si="56"/>
        <v>62.6</v>
      </c>
    </row>
    <row r="1301" spans="1:7">
      <c r="A1301" s="50"/>
      <c r="B1301" s="172" t="s">
        <v>1493</v>
      </c>
      <c r="C1301" s="252" t="s">
        <v>1180</v>
      </c>
      <c r="D1301" s="3" t="s">
        <v>348</v>
      </c>
      <c r="E1301" s="93">
        <v>737</v>
      </c>
      <c r="F1301" s="93">
        <f>VLOOKUP(B1301,[3]Plan1!A$1:D$65536,4,FALSE)</f>
        <v>0.73</v>
      </c>
      <c r="G1301" s="93">
        <f t="shared" si="56"/>
        <v>538.01</v>
      </c>
    </row>
    <row r="1302" spans="1:7">
      <c r="A1302" s="50"/>
      <c r="B1302" s="172" t="s">
        <v>1494</v>
      </c>
      <c r="C1302" s="252" t="s">
        <v>1181</v>
      </c>
      <c r="D1302" s="3" t="s">
        <v>348</v>
      </c>
      <c r="E1302" s="93">
        <v>6</v>
      </c>
      <c r="F1302" s="93">
        <f>VLOOKUP(B1302,[3]Plan1!A$1:D$65536,4,FALSE)</f>
        <v>21.74</v>
      </c>
      <c r="G1302" s="93">
        <f t="shared" si="56"/>
        <v>130.44</v>
      </c>
    </row>
    <row r="1303" spans="1:7">
      <c r="A1303" s="50"/>
      <c r="B1303" s="172" t="s">
        <v>1495</v>
      </c>
      <c r="C1303" s="252" t="s">
        <v>1182</v>
      </c>
      <c r="D1303" s="3" t="s">
        <v>348</v>
      </c>
      <c r="E1303" s="93">
        <v>156</v>
      </c>
      <c r="F1303" s="93">
        <f>VLOOKUP(B1303,[3]Plan1!A$1:D$65536,4,FALSE)</f>
        <v>10.68</v>
      </c>
      <c r="G1303" s="93">
        <f t="shared" si="56"/>
        <v>1666.08</v>
      </c>
    </row>
    <row r="1304" spans="1:7">
      <c r="A1304" s="50"/>
      <c r="B1304" s="172" t="s">
        <v>1496</v>
      </c>
      <c r="C1304" s="252" t="s">
        <v>1183</v>
      </c>
      <c r="D1304" s="3" t="s">
        <v>348</v>
      </c>
      <c r="E1304" s="93">
        <v>123</v>
      </c>
      <c r="F1304" s="93">
        <f>VLOOKUP(B1304,[3]Plan1!A$1:D$65536,4,FALSE)</f>
        <v>11.59</v>
      </c>
      <c r="G1304" s="93">
        <f t="shared" si="56"/>
        <v>1425.57</v>
      </c>
    </row>
    <row r="1305" spans="1:7">
      <c r="A1305" s="50"/>
      <c r="B1305" s="172" t="s">
        <v>1497</v>
      </c>
      <c r="C1305" s="252" t="s">
        <v>1184</v>
      </c>
      <c r="D1305" s="3" t="s">
        <v>348</v>
      </c>
      <c r="E1305" s="93">
        <v>39</v>
      </c>
      <c r="F1305" s="93">
        <f>VLOOKUP(B1305,[3]Plan1!A$1:D$65536,4,FALSE)</f>
        <v>19.07</v>
      </c>
      <c r="G1305" s="93">
        <f t="shared" si="56"/>
        <v>743.73</v>
      </c>
    </row>
    <row r="1306" spans="1:7">
      <c r="A1306" s="50"/>
      <c r="B1306" s="172">
        <v>8121702</v>
      </c>
      <c r="C1306" s="252" t="s">
        <v>1185</v>
      </c>
      <c r="D1306" s="3" t="s">
        <v>246</v>
      </c>
      <c r="E1306" s="93">
        <v>1</v>
      </c>
      <c r="F1306" s="93">
        <v>7.55</v>
      </c>
      <c r="G1306" s="93">
        <f t="shared" si="56"/>
        <v>7.55</v>
      </c>
    </row>
    <row r="1307" spans="1:7">
      <c r="A1307" s="50"/>
      <c r="B1307" s="172">
        <v>8122016</v>
      </c>
      <c r="C1307" s="252" t="s">
        <v>1186</v>
      </c>
      <c r="D1307" s="3" t="s">
        <v>348</v>
      </c>
      <c r="E1307" s="93">
        <v>20</v>
      </c>
      <c r="F1307" s="93">
        <v>2.4500000000000002</v>
      </c>
      <c r="G1307" s="93">
        <f t="shared" si="56"/>
        <v>49</v>
      </c>
    </row>
    <row r="1308" spans="1:7">
      <c r="A1308" s="50"/>
      <c r="B1308" s="172" t="s">
        <v>1498</v>
      </c>
      <c r="C1308" s="252" t="s">
        <v>1187</v>
      </c>
      <c r="D1308" s="3" t="s">
        <v>348</v>
      </c>
      <c r="E1308" s="93">
        <v>4</v>
      </c>
      <c r="F1308" s="93">
        <f>VLOOKUP(B1308,[3]Plan1!A$1:D$65536,4,FALSE)</f>
        <v>6.17</v>
      </c>
      <c r="G1308" s="93">
        <f t="shared" si="56"/>
        <v>24.68</v>
      </c>
    </row>
    <row r="1309" spans="1:7">
      <c r="A1309" s="50"/>
      <c r="B1309" s="172" t="s">
        <v>1499</v>
      </c>
      <c r="C1309" s="252" t="s">
        <v>1188</v>
      </c>
      <c r="D1309" s="3" t="s">
        <v>348</v>
      </c>
      <c r="E1309" s="93">
        <v>29</v>
      </c>
      <c r="F1309" s="93">
        <f>VLOOKUP(B1309,[3]Plan1!A$1:D$65536,4,FALSE)</f>
        <v>4.8099999999999996</v>
      </c>
      <c r="G1309" s="93">
        <f t="shared" si="56"/>
        <v>139.49</v>
      </c>
    </row>
    <row r="1310" spans="1:7">
      <c r="A1310" s="50"/>
      <c r="B1310" s="172">
        <v>8122270</v>
      </c>
      <c r="C1310" s="252" t="s">
        <v>1189</v>
      </c>
      <c r="D1310" s="3" t="s">
        <v>348</v>
      </c>
      <c r="E1310" s="93">
        <v>76</v>
      </c>
      <c r="F1310" s="93">
        <v>8.85</v>
      </c>
      <c r="G1310" s="93">
        <f t="shared" si="56"/>
        <v>672.6</v>
      </c>
    </row>
    <row r="1311" spans="1:7">
      <c r="A1311" s="50"/>
      <c r="B1311" s="172">
        <v>8122946</v>
      </c>
      <c r="C1311" s="252" t="s">
        <v>1190</v>
      </c>
      <c r="D1311" s="3" t="s">
        <v>348</v>
      </c>
      <c r="E1311" s="93">
        <v>3</v>
      </c>
      <c r="F1311" s="93">
        <v>22.36</v>
      </c>
      <c r="G1311" s="93">
        <f t="shared" si="56"/>
        <v>67.08</v>
      </c>
    </row>
    <row r="1312" spans="1:7">
      <c r="A1312" s="50"/>
      <c r="B1312" s="172">
        <v>8122970</v>
      </c>
      <c r="C1312" s="252" t="s">
        <v>1191</v>
      </c>
      <c r="D1312" s="3" t="s">
        <v>348</v>
      </c>
      <c r="E1312" s="93">
        <v>3</v>
      </c>
      <c r="F1312" s="93">
        <v>15.94</v>
      </c>
      <c r="G1312" s="93">
        <f t="shared" si="56"/>
        <v>47.82</v>
      </c>
    </row>
    <row r="1313" spans="1:7">
      <c r="A1313" s="50"/>
      <c r="B1313" s="172" t="s">
        <v>1500</v>
      </c>
      <c r="C1313" s="252" t="s">
        <v>1192</v>
      </c>
      <c r="D1313" s="3" t="s">
        <v>348</v>
      </c>
      <c r="E1313" s="93">
        <v>7</v>
      </c>
      <c r="F1313" s="93">
        <f>VLOOKUP(B1313,[3]Plan1!A$1:D$65536,4,FALSE)</f>
        <v>53.13</v>
      </c>
      <c r="G1313" s="93">
        <f t="shared" si="56"/>
        <v>371.91</v>
      </c>
    </row>
    <row r="1314" spans="1:7">
      <c r="A1314" s="50"/>
      <c r="B1314" s="172">
        <v>8127930</v>
      </c>
      <c r="C1314" s="252" t="s">
        <v>1193</v>
      </c>
      <c r="D1314" s="3" t="s">
        <v>348</v>
      </c>
      <c r="E1314" s="93">
        <v>3</v>
      </c>
      <c r="F1314" s="93">
        <v>51.31</v>
      </c>
      <c r="G1314" s="93">
        <f t="shared" si="56"/>
        <v>153.93</v>
      </c>
    </row>
    <row r="1315" spans="1:7">
      <c r="A1315" s="50"/>
      <c r="B1315" s="172" t="s">
        <v>1501</v>
      </c>
      <c r="C1315" s="252" t="s">
        <v>1194</v>
      </c>
      <c r="D1315" s="3" t="s">
        <v>348</v>
      </c>
      <c r="E1315" s="93">
        <v>6</v>
      </c>
      <c r="F1315" s="93">
        <f>VLOOKUP(B1315,[3]Plan1!A$1:D$65536,4,FALSE)</f>
        <v>101.63</v>
      </c>
      <c r="G1315" s="93">
        <f t="shared" si="56"/>
        <v>609.78</v>
      </c>
    </row>
    <row r="1316" spans="1:7">
      <c r="A1316" s="50"/>
      <c r="B1316" s="172" t="s">
        <v>1502</v>
      </c>
      <c r="C1316" s="252" t="s">
        <v>1195</v>
      </c>
      <c r="D1316" s="3" t="s">
        <v>348</v>
      </c>
      <c r="E1316" s="93">
        <v>30</v>
      </c>
      <c r="F1316" s="93">
        <f>VLOOKUP(B1316,[3]Plan1!A$1:D$65536,4,FALSE)</f>
        <v>15.99</v>
      </c>
      <c r="G1316" s="93">
        <f t="shared" si="56"/>
        <v>479.7</v>
      </c>
    </row>
    <row r="1317" spans="1:7">
      <c r="A1317" s="50"/>
      <c r="B1317" s="172">
        <v>8128081</v>
      </c>
      <c r="C1317" s="252" t="s">
        <v>1196</v>
      </c>
      <c r="D1317" s="3" t="s">
        <v>348</v>
      </c>
      <c r="E1317" s="93">
        <v>2</v>
      </c>
      <c r="F1317" s="93">
        <v>27.85</v>
      </c>
      <c r="G1317" s="93">
        <f t="shared" si="56"/>
        <v>55.7</v>
      </c>
    </row>
    <row r="1318" spans="1:7">
      <c r="A1318" s="50"/>
      <c r="B1318" s="172">
        <v>8128138</v>
      </c>
      <c r="C1318" s="252" t="s">
        <v>1197</v>
      </c>
      <c r="D1318" s="3" t="s">
        <v>348</v>
      </c>
      <c r="E1318" s="93">
        <v>49</v>
      </c>
      <c r="F1318" s="93">
        <v>16.2</v>
      </c>
      <c r="G1318" s="93">
        <f t="shared" si="56"/>
        <v>793.8</v>
      </c>
    </row>
    <row r="1319" spans="1:7">
      <c r="A1319" s="50"/>
      <c r="B1319" s="172">
        <v>8129517</v>
      </c>
      <c r="C1319" s="252" t="s">
        <v>1198</v>
      </c>
      <c r="D1319" s="3" t="s">
        <v>348</v>
      </c>
      <c r="E1319" s="93">
        <v>156</v>
      </c>
      <c r="F1319" s="93">
        <v>7.88</v>
      </c>
      <c r="G1319" s="93">
        <f t="shared" si="56"/>
        <v>1229.28</v>
      </c>
    </row>
    <row r="1320" spans="1:7">
      <c r="A1320" s="50"/>
      <c r="B1320" s="172">
        <v>8129525</v>
      </c>
      <c r="C1320" s="252" t="s">
        <v>1199</v>
      </c>
      <c r="D1320" s="3" t="s">
        <v>348</v>
      </c>
      <c r="E1320" s="93">
        <v>276</v>
      </c>
      <c r="F1320" s="93">
        <v>8.48</v>
      </c>
      <c r="G1320" s="93">
        <f t="shared" si="56"/>
        <v>2340.48</v>
      </c>
    </row>
    <row r="1321" spans="1:7">
      <c r="A1321" s="50"/>
      <c r="B1321" s="172">
        <v>8130272</v>
      </c>
      <c r="C1321" s="258" t="s">
        <v>1200</v>
      </c>
      <c r="D1321" s="228" t="s">
        <v>348</v>
      </c>
      <c r="E1321" s="92">
        <v>33</v>
      </c>
      <c r="F1321" s="93">
        <v>12.27</v>
      </c>
      <c r="G1321" s="93">
        <f t="shared" si="56"/>
        <v>404.91</v>
      </c>
    </row>
    <row r="1322" spans="1:7">
      <c r="A1322" s="50"/>
      <c r="B1322" s="172" t="s">
        <v>1503</v>
      </c>
      <c r="C1322" s="258" t="s">
        <v>1201</v>
      </c>
      <c r="D1322" s="228" t="s">
        <v>348</v>
      </c>
      <c r="E1322" s="92">
        <v>15</v>
      </c>
      <c r="F1322" s="93">
        <f>VLOOKUP(B1322,[3]Plan1!A$1:D$65536,4,FALSE)</f>
        <v>17.63</v>
      </c>
      <c r="G1322" s="93">
        <f t="shared" si="56"/>
        <v>264.45</v>
      </c>
    </row>
    <row r="1323" spans="1:7">
      <c r="A1323" s="50"/>
      <c r="B1323" s="172">
        <v>8130558</v>
      </c>
      <c r="C1323" s="258" t="s">
        <v>1202</v>
      </c>
      <c r="D1323" s="228" t="s">
        <v>348</v>
      </c>
      <c r="E1323" s="92">
        <v>45</v>
      </c>
      <c r="F1323" s="93">
        <v>49.57</v>
      </c>
      <c r="G1323" s="93">
        <f t="shared" si="56"/>
        <v>2230.65</v>
      </c>
    </row>
    <row r="1324" spans="1:7">
      <c r="A1324" s="50"/>
      <c r="B1324" s="172">
        <v>8130582</v>
      </c>
      <c r="C1324" s="258" t="s">
        <v>1203</v>
      </c>
      <c r="D1324" s="228" t="s">
        <v>348</v>
      </c>
      <c r="E1324" s="92">
        <v>15</v>
      </c>
      <c r="F1324" s="93">
        <v>46.41</v>
      </c>
      <c r="G1324" s="93">
        <f t="shared" si="56"/>
        <v>696.15</v>
      </c>
    </row>
    <row r="1325" spans="1:7">
      <c r="A1325" s="50"/>
      <c r="B1325" s="172" t="s">
        <v>1504</v>
      </c>
      <c r="C1325" s="258" t="s">
        <v>1337</v>
      </c>
      <c r="D1325" s="228" t="s">
        <v>348</v>
      </c>
      <c r="E1325" s="92">
        <v>48</v>
      </c>
      <c r="F1325" s="93">
        <f>VLOOKUP(B1325,[3]Plan1!A$1:D$65536,4,FALSE)</f>
        <v>43.24</v>
      </c>
      <c r="G1325" s="93">
        <f t="shared" si="56"/>
        <v>2075.52</v>
      </c>
    </row>
    <row r="1326" spans="1:7">
      <c r="A1326" s="50"/>
      <c r="B1326" s="172" t="s">
        <v>1505</v>
      </c>
      <c r="C1326" s="258" t="s">
        <v>1204</v>
      </c>
      <c r="D1326" s="228" t="s">
        <v>348</v>
      </c>
      <c r="E1326" s="92">
        <v>46</v>
      </c>
      <c r="F1326" s="93">
        <f>VLOOKUP(B1326,[3]Plan1!A$1:D$65536,4,FALSE)</f>
        <v>10.29</v>
      </c>
      <c r="G1326" s="93">
        <f t="shared" si="56"/>
        <v>473.34</v>
      </c>
    </row>
    <row r="1327" spans="1:7">
      <c r="A1327" s="50"/>
      <c r="B1327" s="172">
        <v>8131210</v>
      </c>
      <c r="C1327" s="258" t="s">
        <v>1205</v>
      </c>
      <c r="D1327" s="228" t="s">
        <v>348</v>
      </c>
      <c r="E1327" s="92">
        <v>6</v>
      </c>
      <c r="F1327" s="93">
        <v>5.23</v>
      </c>
      <c r="G1327" s="93">
        <f t="shared" si="56"/>
        <v>31.38</v>
      </c>
    </row>
    <row r="1328" spans="1:7">
      <c r="A1328" s="50"/>
      <c r="B1328" s="172" t="s">
        <v>1506</v>
      </c>
      <c r="C1328" s="258" t="s">
        <v>1206</v>
      </c>
      <c r="D1328" s="228" t="s">
        <v>348</v>
      </c>
      <c r="E1328" s="92">
        <v>45</v>
      </c>
      <c r="F1328" s="93">
        <f>VLOOKUP(B1328,[3]Plan1!A$1:D$65536,4,FALSE)</f>
        <v>14.24</v>
      </c>
      <c r="G1328" s="93">
        <f t="shared" si="56"/>
        <v>640.79999999999995</v>
      </c>
    </row>
    <row r="1329" spans="1:7">
      <c r="A1329" s="50"/>
      <c r="B1329" s="172">
        <v>8134502</v>
      </c>
      <c r="C1329" s="252" t="s">
        <v>1207</v>
      </c>
      <c r="D1329" s="3" t="s">
        <v>348</v>
      </c>
      <c r="E1329" s="93">
        <v>79</v>
      </c>
      <c r="F1329" s="93">
        <v>0.12</v>
      </c>
      <c r="G1329" s="93">
        <f t="shared" si="56"/>
        <v>9.48</v>
      </c>
    </row>
    <row r="1330" spans="1:7">
      <c r="A1330" s="50"/>
      <c r="B1330" s="172" t="s">
        <v>1507</v>
      </c>
      <c r="C1330" s="252" t="s">
        <v>1208</v>
      </c>
      <c r="D1330" s="3" t="s">
        <v>348</v>
      </c>
      <c r="E1330" s="93">
        <v>42</v>
      </c>
      <c r="F1330" s="93">
        <f>VLOOKUP(B1330,[3]Plan1!A$1:D$65536,4,FALSE)</f>
        <v>27.42</v>
      </c>
      <c r="G1330" s="93">
        <f t="shared" si="56"/>
        <v>1151.6400000000001</v>
      </c>
    </row>
    <row r="1331" spans="1:7">
      <c r="A1331" s="50"/>
      <c r="B1331" s="172">
        <v>8135657</v>
      </c>
      <c r="C1331" s="252" t="s">
        <v>1209</v>
      </c>
      <c r="D1331" s="3" t="s">
        <v>348</v>
      </c>
      <c r="E1331" s="93">
        <v>12</v>
      </c>
      <c r="F1331" s="93">
        <v>138.36000000000001</v>
      </c>
      <c r="G1331" s="93">
        <f t="shared" si="56"/>
        <v>1660.32</v>
      </c>
    </row>
    <row r="1332" spans="1:7">
      <c r="A1332" s="50"/>
      <c r="B1332" s="172">
        <v>8136050</v>
      </c>
      <c r="C1332" s="252" t="s">
        <v>1210</v>
      </c>
      <c r="D1332" s="3" t="s">
        <v>189</v>
      </c>
      <c r="E1332" s="93">
        <v>96</v>
      </c>
      <c r="F1332" s="93">
        <v>2.11</v>
      </c>
      <c r="G1332" s="93">
        <f t="shared" si="56"/>
        <v>202.56</v>
      </c>
    </row>
    <row r="1333" spans="1:7">
      <c r="A1333" s="50"/>
      <c r="B1333" s="172">
        <v>8139571</v>
      </c>
      <c r="C1333" s="252" t="s">
        <v>1211</v>
      </c>
      <c r="D1333" s="3" t="s">
        <v>348</v>
      </c>
      <c r="E1333" s="93">
        <v>4</v>
      </c>
      <c r="F1333" s="93">
        <v>29.83</v>
      </c>
      <c r="G1333" s="93">
        <f t="shared" si="56"/>
        <v>119.32</v>
      </c>
    </row>
    <row r="1334" spans="1:7">
      <c r="A1334" s="50"/>
      <c r="B1334" s="172" t="s">
        <v>1508</v>
      </c>
      <c r="C1334" s="252" t="s">
        <v>1212</v>
      </c>
      <c r="D1334" s="3" t="s">
        <v>348</v>
      </c>
      <c r="E1334" s="93">
        <v>60</v>
      </c>
      <c r="F1334" s="93">
        <f>VLOOKUP(B1334,[3]Plan1!A$1:D$65536,4,FALSE)</f>
        <v>27.13</v>
      </c>
      <c r="G1334" s="93">
        <f t="shared" si="56"/>
        <v>1627.8</v>
      </c>
    </row>
    <row r="1335" spans="1:7">
      <c r="A1335" s="50"/>
      <c r="B1335" s="172" t="s">
        <v>1509</v>
      </c>
      <c r="C1335" s="252" t="s">
        <v>1213</v>
      </c>
      <c r="D1335" s="3" t="s">
        <v>348</v>
      </c>
      <c r="E1335" s="93">
        <v>4</v>
      </c>
      <c r="F1335" s="93">
        <f>VLOOKUP(B1335,[3]Plan1!A$1:D$65536,4,FALSE)</f>
        <v>70.510000000000005</v>
      </c>
      <c r="G1335" s="93">
        <f t="shared" si="56"/>
        <v>282.04000000000002</v>
      </c>
    </row>
    <row r="1336" spans="1:7">
      <c r="A1336" s="50"/>
      <c r="B1336" s="172" t="s">
        <v>1510</v>
      </c>
      <c r="C1336" s="252" t="s">
        <v>1214</v>
      </c>
      <c r="D1336" s="3" t="s">
        <v>348</v>
      </c>
      <c r="E1336" s="93">
        <v>13</v>
      </c>
      <c r="F1336" s="93">
        <f>VLOOKUP(B1336,[3]Plan1!A$1:D$65536,4,FALSE)</f>
        <v>78.89</v>
      </c>
      <c r="G1336" s="93">
        <f t="shared" si="56"/>
        <v>1025.57</v>
      </c>
    </row>
    <row r="1337" spans="1:7">
      <c r="A1337" s="229"/>
      <c r="B1337" s="172" t="s">
        <v>1511</v>
      </c>
      <c r="C1337" s="252" t="s">
        <v>1215</v>
      </c>
      <c r="D1337" s="3" t="s">
        <v>348</v>
      </c>
      <c r="E1337" s="93">
        <v>10</v>
      </c>
      <c r="F1337" s="93">
        <f>VLOOKUP(B1337,[3]Plan1!A$1:D$65536,4,FALSE)</f>
        <v>87.28</v>
      </c>
      <c r="G1337" s="93">
        <f t="shared" si="56"/>
        <v>872.8</v>
      </c>
    </row>
    <row r="1338" spans="1:7">
      <c r="A1338" s="225"/>
      <c r="B1338" s="172" t="s">
        <v>1512</v>
      </c>
      <c r="C1338" s="252" t="s">
        <v>1216</v>
      </c>
      <c r="D1338" s="3" t="s">
        <v>348</v>
      </c>
      <c r="E1338" s="93">
        <v>10</v>
      </c>
      <c r="F1338" s="93">
        <f>VLOOKUP(B1338,[3]Plan1!A$1:D$65536,4,FALSE)</f>
        <v>35.58</v>
      </c>
      <c r="G1338" s="93">
        <f t="shared" si="56"/>
        <v>355.8</v>
      </c>
    </row>
    <row r="1339" spans="1:7">
      <c r="A1339" s="50"/>
      <c r="B1339" s="172" t="s">
        <v>1513</v>
      </c>
      <c r="C1339" s="252" t="s">
        <v>1217</v>
      </c>
      <c r="D1339" s="3" t="s">
        <v>348</v>
      </c>
      <c r="E1339" s="93">
        <v>7</v>
      </c>
      <c r="F1339" s="93">
        <f>VLOOKUP(B1339,[3]Plan1!A$1:D$65536,4,FALSE)</f>
        <v>15.95</v>
      </c>
      <c r="G1339" s="93">
        <f t="shared" si="56"/>
        <v>111.65</v>
      </c>
    </row>
    <row r="1340" spans="1:7">
      <c r="A1340" s="50"/>
      <c r="B1340" s="172" t="s">
        <v>1514</v>
      </c>
      <c r="C1340" s="252" t="s">
        <v>1218</v>
      </c>
      <c r="D1340" s="3" t="s">
        <v>348</v>
      </c>
      <c r="E1340" s="93">
        <v>1</v>
      </c>
      <c r="F1340" s="93">
        <f>VLOOKUP(B1340,[3]Plan1!A$1:D$65536,4,FALSE)</f>
        <v>277.88</v>
      </c>
      <c r="G1340" s="93">
        <f t="shared" si="56"/>
        <v>277.88</v>
      </c>
    </row>
    <row r="1341" spans="1:7">
      <c r="A1341" s="50"/>
      <c r="B1341" s="172" t="s">
        <v>1515</v>
      </c>
      <c r="C1341" s="252" t="s">
        <v>1219</v>
      </c>
      <c r="D1341" s="3" t="s">
        <v>348</v>
      </c>
      <c r="E1341" s="93">
        <v>81</v>
      </c>
      <c r="F1341" s="93">
        <f>VLOOKUP(B1341,[3]Plan1!A$1:D$65536,4,FALSE)</f>
        <v>60.74</v>
      </c>
      <c r="G1341" s="93">
        <f t="shared" si="56"/>
        <v>4919.9399999999996</v>
      </c>
    </row>
    <row r="1342" spans="1:7">
      <c r="A1342" s="50"/>
      <c r="B1342" s="172">
        <v>8804257</v>
      </c>
      <c r="C1342" s="252" t="s">
        <v>1220</v>
      </c>
      <c r="D1342" s="3" t="s">
        <v>189</v>
      </c>
      <c r="E1342" s="93">
        <v>2.5</v>
      </c>
      <c r="F1342" s="93">
        <v>8.08</v>
      </c>
      <c r="G1342" s="93">
        <f t="shared" si="56"/>
        <v>20.2</v>
      </c>
    </row>
    <row r="1343" spans="1:7">
      <c r="A1343" s="50"/>
      <c r="B1343" s="172">
        <v>9352198</v>
      </c>
      <c r="C1343" s="252" t="s">
        <v>1221</v>
      </c>
      <c r="D1343" s="3" t="s">
        <v>348</v>
      </c>
      <c r="E1343" s="93">
        <v>1</v>
      </c>
      <c r="F1343" s="93">
        <v>4646.3999999999996</v>
      </c>
      <c r="G1343" s="93">
        <f t="shared" si="56"/>
        <v>4646.3999999999996</v>
      </c>
    </row>
    <row r="1344" spans="1:7">
      <c r="A1344" s="211" t="s">
        <v>1596</v>
      </c>
      <c r="B1344" s="172"/>
      <c r="C1344" s="281" t="s">
        <v>1640</v>
      </c>
      <c r="D1344" s="96"/>
      <c r="E1344" s="97"/>
      <c r="F1344" s="97"/>
      <c r="G1344" s="98">
        <f>SUM(G1209:G1343)</f>
        <v>311699.15000000002</v>
      </c>
    </row>
    <row r="1345" spans="1:7">
      <c r="B1345" s="172"/>
      <c r="C1345" s="281"/>
      <c r="D1345" s="96"/>
      <c r="E1345" s="97"/>
      <c r="F1345" s="97"/>
      <c r="G1345" s="98"/>
    </row>
    <row r="1346" spans="1:7">
      <c r="A1346" s="50">
        <v>18</v>
      </c>
      <c r="B1346" s="248">
        <v>18</v>
      </c>
      <c r="C1346" s="282" t="s">
        <v>243</v>
      </c>
      <c r="D1346" s="170"/>
      <c r="E1346" s="178"/>
      <c r="F1346" s="178"/>
      <c r="G1346" s="299"/>
    </row>
    <row r="1347" spans="1:7" ht="22.5">
      <c r="A1347" s="50"/>
      <c r="B1347" s="242" t="s">
        <v>778</v>
      </c>
      <c r="C1347" s="271" t="s">
        <v>338</v>
      </c>
      <c r="D1347" s="9" t="s">
        <v>185</v>
      </c>
      <c r="E1347" s="173">
        <v>120</v>
      </c>
      <c r="F1347" s="173">
        <f>TRUNC(149.39*2.87*1.2031,2)</f>
        <v>515.82000000000005</v>
      </c>
      <c r="G1347" s="297">
        <f>TRUNC(E1347*F1347,2)</f>
        <v>61898.400000000001</v>
      </c>
    </row>
    <row r="1348" spans="1:7">
      <c r="A1348" s="50" t="s">
        <v>1356</v>
      </c>
      <c r="B1348" s="235"/>
      <c r="C1348" s="256" t="s">
        <v>1360</v>
      </c>
      <c r="D1348" s="1"/>
      <c r="E1348" s="208"/>
      <c r="F1348" s="296"/>
      <c r="G1348" s="296">
        <f>SUM(G1347:G1347)</f>
        <v>61898.400000000001</v>
      </c>
    </row>
    <row r="1349" spans="1:7">
      <c r="A1349" s="50"/>
      <c r="B1349" s="235"/>
      <c r="C1349" s="256"/>
      <c r="D1349" s="1"/>
      <c r="E1349" s="208"/>
      <c r="F1349" s="296"/>
      <c r="G1349" s="296"/>
    </row>
    <row r="1350" spans="1:7">
      <c r="A1350" s="50">
        <v>19</v>
      </c>
      <c r="B1350" s="248">
        <v>19</v>
      </c>
      <c r="C1350" s="282" t="s">
        <v>876</v>
      </c>
      <c r="D1350" s="170"/>
      <c r="E1350" s="178"/>
      <c r="F1350" s="178"/>
      <c r="G1350" s="299"/>
    </row>
    <row r="1351" spans="1:7">
      <c r="A1351" s="50"/>
      <c r="B1351" s="234"/>
      <c r="C1351" s="263" t="s">
        <v>877</v>
      </c>
      <c r="D1351" s="9"/>
      <c r="E1351" s="173"/>
      <c r="F1351" s="173"/>
      <c r="G1351" s="173"/>
    </row>
    <row r="1352" spans="1:7">
      <c r="A1352" s="50"/>
      <c r="B1352" s="235" t="s">
        <v>842</v>
      </c>
      <c r="C1352" s="271" t="s">
        <v>930</v>
      </c>
      <c r="D1352" s="1" t="s">
        <v>878</v>
      </c>
      <c r="E1352" s="312">
        <f>220*12</f>
        <v>2640</v>
      </c>
      <c r="F1352" s="310">
        <f>VLOOKUP(B1352,MÃODEOBRA!A:D,4,FALSE)</f>
        <v>76.17</v>
      </c>
      <c r="G1352" s="310">
        <f>TRUNC(E1352*F1352,2)</f>
        <v>201088.8</v>
      </c>
    </row>
    <row r="1353" spans="1:7">
      <c r="A1353" s="50"/>
      <c r="B1353" s="235" t="s">
        <v>832</v>
      </c>
      <c r="C1353" s="271" t="s">
        <v>879</v>
      </c>
      <c r="D1353" s="1" t="s">
        <v>878</v>
      </c>
      <c r="E1353" s="312">
        <f>220*12</f>
        <v>2640</v>
      </c>
      <c r="F1353" s="310">
        <f>VLOOKUP(B1353,MÃODEOBRA!A:D,4,FALSE)</f>
        <v>31.78</v>
      </c>
      <c r="G1353" s="310">
        <f t="shared" ref="G1353:G1360" si="57">TRUNC(E1353*F1353,2)</f>
        <v>83899.199999999997</v>
      </c>
    </row>
    <row r="1354" spans="1:7">
      <c r="A1354" s="50"/>
      <c r="B1354" s="235" t="s">
        <v>846</v>
      </c>
      <c r="C1354" s="271" t="s">
        <v>880</v>
      </c>
      <c r="D1354" s="1" t="s">
        <v>878</v>
      </c>
      <c r="E1354" s="312">
        <f>220*12</f>
        <v>2640</v>
      </c>
      <c r="F1354" s="310">
        <f>VLOOKUP(B1354,MÃODEOBRA!A:D,4,FALSE)</f>
        <v>18.690000000000001</v>
      </c>
      <c r="G1354" s="310">
        <f t="shared" si="57"/>
        <v>49341.599999999999</v>
      </c>
    </row>
    <row r="1355" spans="1:7">
      <c r="A1355" s="50"/>
      <c r="B1355" s="235" t="s">
        <v>834</v>
      </c>
      <c r="C1355" s="271" t="s">
        <v>881</v>
      </c>
      <c r="D1355" s="1" t="s">
        <v>878</v>
      </c>
      <c r="E1355" s="312">
        <f>55*12</f>
        <v>660</v>
      </c>
      <c r="F1355" s="310">
        <f>VLOOKUP(B1355,MÃODEOBRA!A:D,4,FALSE)</f>
        <v>18.690000000000001</v>
      </c>
      <c r="G1355" s="310">
        <f t="shared" si="57"/>
        <v>12335.4</v>
      </c>
    </row>
    <row r="1356" spans="1:7">
      <c r="A1356" s="50"/>
      <c r="B1356" s="235" t="s">
        <v>834</v>
      </c>
      <c r="C1356" s="271" t="s">
        <v>882</v>
      </c>
      <c r="D1356" s="1" t="s">
        <v>878</v>
      </c>
      <c r="E1356" s="312">
        <f>55*12</f>
        <v>660</v>
      </c>
      <c r="F1356" s="310">
        <f>VLOOKUP(B1356,MÃODEOBRA!A:D,4,FALSE)</f>
        <v>18.690000000000001</v>
      </c>
      <c r="G1356" s="310">
        <f t="shared" si="57"/>
        <v>12335.4</v>
      </c>
    </row>
    <row r="1357" spans="1:7">
      <c r="A1357" s="50"/>
      <c r="B1357" s="235" t="s">
        <v>836</v>
      </c>
      <c r="C1357" s="271" t="s">
        <v>883</v>
      </c>
      <c r="D1357" s="1" t="s">
        <v>878</v>
      </c>
      <c r="E1357" s="312">
        <f>110*12</f>
        <v>1320</v>
      </c>
      <c r="F1357" s="310">
        <f>VLOOKUP(B1357,MÃODEOBRA!A:D,4,FALSE)</f>
        <v>13.08</v>
      </c>
      <c r="G1357" s="310">
        <f t="shared" si="57"/>
        <v>17265.599999999999</v>
      </c>
    </row>
    <row r="1358" spans="1:7">
      <c r="A1358" s="225"/>
      <c r="B1358" s="235" t="s">
        <v>838</v>
      </c>
      <c r="C1358" s="271" t="s">
        <v>884</v>
      </c>
      <c r="D1358" s="1" t="s">
        <v>878</v>
      </c>
      <c r="E1358" s="312">
        <f>110*12</f>
        <v>1320</v>
      </c>
      <c r="F1358" s="310">
        <f>VLOOKUP(B1358,MÃODEOBRA!A:D,4,FALSE)</f>
        <v>11.22</v>
      </c>
      <c r="G1358" s="310">
        <f t="shared" si="57"/>
        <v>14810.4</v>
      </c>
    </row>
    <row r="1359" spans="1:7">
      <c r="B1359" s="235" t="s">
        <v>848</v>
      </c>
      <c r="C1359" s="271" t="s">
        <v>885</v>
      </c>
      <c r="D1359" s="1" t="s">
        <v>878</v>
      </c>
      <c r="E1359" s="312">
        <f>220*12</f>
        <v>2640</v>
      </c>
      <c r="F1359" s="310">
        <f>VLOOKUP(B1359,MÃODEOBRA!A:D,4,FALSE)</f>
        <v>13.55</v>
      </c>
      <c r="G1359" s="310">
        <f t="shared" si="57"/>
        <v>35772</v>
      </c>
    </row>
    <row r="1360" spans="1:7">
      <c r="B1360" s="235" t="s">
        <v>850</v>
      </c>
      <c r="C1360" s="271" t="s">
        <v>917</v>
      </c>
      <c r="D1360" s="1" t="s">
        <v>878</v>
      </c>
      <c r="E1360" s="312">
        <f>220*12*2</f>
        <v>5280</v>
      </c>
      <c r="F1360" s="310">
        <f>VLOOKUP(B1360,MÃODEOBRA!A:D,4,FALSE)</f>
        <v>8.41</v>
      </c>
      <c r="G1360" s="310">
        <f t="shared" si="57"/>
        <v>44404.800000000003</v>
      </c>
    </row>
    <row r="1361" spans="1:7">
      <c r="B1361" s="235"/>
      <c r="C1361" s="256" t="s">
        <v>886</v>
      </c>
      <c r="D1361" s="1"/>
      <c r="E1361" s="312"/>
      <c r="F1361" s="310"/>
      <c r="G1361" s="329">
        <f>SUM(G1352:G1360)</f>
        <v>471253.2</v>
      </c>
    </row>
    <row r="1362" spans="1:7">
      <c r="B1362" s="234"/>
      <c r="C1362" s="263" t="s">
        <v>887</v>
      </c>
      <c r="D1362" s="9"/>
      <c r="E1362" s="173"/>
      <c r="F1362" s="173"/>
      <c r="G1362" s="173"/>
    </row>
    <row r="1363" spans="1:7">
      <c r="B1363" s="235"/>
      <c r="C1363" s="271" t="s">
        <v>888</v>
      </c>
      <c r="D1363" s="1" t="s">
        <v>889</v>
      </c>
      <c r="E1363" s="312">
        <v>12</v>
      </c>
      <c r="F1363" s="310">
        <v>3000</v>
      </c>
      <c r="G1363" s="310">
        <f>TRUNC(E1363*F1363,2)</f>
        <v>36000</v>
      </c>
    </row>
    <row r="1364" spans="1:7">
      <c r="B1364" s="235"/>
      <c r="C1364" s="271" t="s">
        <v>971</v>
      </c>
      <c r="D1364" s="1" t="s">
        <v>889</v>
      </c>
      <c r="E1364" s="312">
        <v>12</v>
      </c>
      <c r="F1364" s="310">
        <f>80*15</f>
        <v>1200</v>
      </c>
      <c r="G1364" s="310">
        <f>TRUNC(E1364*F1364,2)</f>
        <v>14400</v>
      </c>
    </row>
    <row r="1365" spans="1:7">
      <c r="B1365" s="235"/>
      <c r="C1365" s="271" t="s">
        <v>923</v>
      </c>
      <c r="D1365" s="1" t="s">
        <v>545</v>
      </c>
      <c r="E1365" s="312">
        <v>1</v>
      </c>
      <c r="F1365" s="310">
        <v>20000</v>
      </c>
      <c r="G1365" s="310">
        <f>TRUNC(E1365*F1365,2)</f>
        <v>20000</v>
      </c>
    </row>
    <row r="1366" spans="1:7">
      <c r="B1366" s="235"/>
      <c r="C1366" s="271" t="s">
        <v>890</v>
      </c>
      <c r="D1366" s="1" t="s">
        <v>194</v>
      </c>
      <c r="E1366" s="312">
        <v>200</v>
      </c>
      <c r="F1366" s="310">
        <v>25</v>
      </c>
      <c r="G1366" s="310">
        <f>TRUNC(E1366*F1366,2)</f>
        <v>5000</v>
      </c>
    </row>
    <row r="1367" spans="1:7">
      <c r="B1367" s="235"/>
      <c r="C1367" s="256" t="s">
        <v>886</v>
      </c>
      <c r="D1367" s="1"/>
      <c r="E1367" s="312"/>
      <c r="F1367" s="310"/>
      <c r="G1367" s="329">
        <f>SUM(G1363:G1366)</f>
        <v>75400</v>
      </c>
    </row>
    <row r="1368" spans="1:7">
      <c r="A1368" s="50"/>
      <c r="B1368" s="235"/>
      <c r="C1368" s="256" t="s">
        <v>1361</v>
      </c>
      <c r="D1368" s="1"/>
      <c r="E1368" s="312"/>
      <c r="F1368" s="296"/>
      <c r="G1368" s="296">
        <f>SUM(G1361,G1367)</f>
        <v>546653.19999999995</v>
      </c>
    </row>
    <row r="1369" spans="1:7">
      <c r="A1369" s="50" t="s">
        <v>1355</v>
      </c>
      <c r="B1369" s="235"/>
      <c r="C1369" s="256" t="s">
        <v>1362</v>
      </c>
      <c r="D1369" s="1"/>
      <c r="E1369" s="312"/>
      <c r="F1369" s="296"/>
      <c r="G1369" s="296">
        <f>ROUND(G1368*1.2031,2)</f>
        <v>657678.46</v>
      </c>
    </row>
    <row r="1370" spans="1:7">
      <c r="A1370" s="50"/>
      <c r="B1370" s="235"/>
      <c r="C1370" s="256"/>
      <c r="D1370" s="1"/>
      <c r="E1370" s="312"/>
      <c r="F1370" s="296"/>
      <c r="G1370" s="296"/>
    </row>
    <row r="1371" spans="1:7">
      <c r="A1371" s="50">
        <v>20</v>
      </c>
      <c r="B1371" s="248">
        <v>20</v>
      </c>
      <c r="C1371" s="282" t="s">
        <v>891</v>
      </c>
      <c r="D1371" s="170"/>
      <c r="E1371" s="178"/>
      <c r="F1371" s="178"/>
      <c r="G1371" s="299"/>
    </row>
    <row r="1372" spans="1:7">
      <c r="B1372" s="235"/>
      <c r="C1372" s="283" t="s">
        <v>892</v>
      </c>
      <c r="D1372" s="9"/>
      <c r="E1372" s="173"/>
      <c r="F1372" s="173"/>
      <c r="G1372" s="173"/>
    </row>
    <row r="1373" spans="1:7">
      <c r="B1373" s="235"/>
      <c r="C1373" s="256" t="s">
        <v>964</v>
      </c>
      <c r="D1373" s="1"/>
      <c r="E1373" s="330"/>
      <c r="F1373" s="331"/>
      <c r="G1373" s="332"/>
    </row>
    <row r="1374" spans="1:7">
      <c r="B1374" s="235" t="s">
        <v>965</v>
      </c>
      <c r="C1374" s="271" t="s">
        <v>966</v>
      </c>
      <c r="D1374" s="1" t="s">
        <v>185</v>
      </c>
      <c r="E1374" s="330">
        <f>80*50</f>
        <v>4000</v>
      </c>
      <c r="F1374" s="297">
        <f>TRUNC((4.56/1.2031),2)</f>
        <v>3.79</v>
      </c>
      <c r="G1374" s="331">
        <f>TRUNC(E1374*F1374,2)</f>
        <v>15160</v>
      </c>
    </row>
    <row r="1375" spans="1:7">
      <c r="B1375" s="235"/>
      <c r="C1375" s="271"/>
      <c r="D1375" s="1"/>
      <c r="E1375" s="330"/>
      <c r="F1375" s="331"/>
      <c r="G1375" s="332">
        <f>SUM(G1374)</f>
        <v>15160</v>
      </c>
    </row>
    <row r="1376" spans="1:7">
      <c r="B1376" s="235"/>
      <c r="C1376" s="263" t="s">
        <v>967</v>
      </c>
      <c r="D1376" s="9"/>
      <c r="E1376" s="173"/>
      <c r="F1376" s="173"/>
      <c r="G1376" s="173"/>
    </row>
    <row r="1377" spans="2:7" ht="22.5">
      <c r="B1377" s="235"/>
      <c r="C1377" s="263" t="s">
        <v>1522</v>
      </c>
      <c r="D1377" s="9"/>
      <c r="E1377" s="173"/>
      <c r="F1377" s="173"/>
      <c r="G1377" s="173"/>
    </row>
    <row r="1378" spans="2:7">
      <c r="B1378" s="235"/>
      <c r="C1378" s="271" t="s">
        <v>975</v>
      </c>
      <c r="D1378" s="1" t="s">
        <v>185</v>
      </c>
      <c r="E1378" s="312">
        <v>4</v>
      </c>
      <c r="F1378" s="333">
        <f>TRUNC(774.47*0.5,2)</f>
        <v>387.23</v>
      </c>
      <c r="G1378" s="310">
        <f>TRUNC(E1378*F1378,2)</f>
        <v>1548.92</v>
      </c>
    </row>
    <row r="1379" spans="2:7">
      <c r="B1379" s="235"/>
      <c r="C1379" s="271" t="s">
        <v>976</v>
      </c>
      <c r="D1379" s="1" t="s">
        <v>185</v>
      </c>
      <c r="E1379" s="312">
        <v>80</v>
      </c>
      <c r="F1379" s="333">
        <f>TRUNC(774.47*0.8,2)</f>
        <v>619.57000000000005</v>
      </c>
      <c r="G1379" s="310">
        <f t="shared" ref="G1379:G1384" si="58">TRUNC(E1379*F1379,2)</f>
        <v>49565.599999999999</v>
      </c>
    </row>
    <row r="1380" spans="2:7">
      <c r="B1380" s="235"/>
      <c r="C1380" s="271" t="s">
        <v>924</v>
      </c>
      <c r="D1380" s="1" t="s">
        <v>185</v>
      </c>
      <c r="E1380" s="312">
        <v>30</v>
      </c>
      <c r="F1380" s="333">
        <f>TRUNC(774.47*0.5,2)</f>
        <v>387.23</v>
      </c>
      <c r="G1380" s="310">
        <f t="shared" si="58"/>
        <v>11616.9</v>
      </c>
    </row>
    <row r="1381" spans="2:7">
      <c r="B1381" s="235"/>
      <c r="C1381" s="271" t="s">
        <v>925</v>
      </c>
      <c r="D1381" s="1" t="s">
        <v>185</v>
      </c>
      <c r="E1381" s="312">
        <v>40</v>
      </c>
      <c r="F1381" s="333">
        <f>TRUNC(774.47*0.5,2)</f>
        <v>387.23</v>
      </c>
      <c r="G1381" s="310">
        <f t="shared" si="58"/>
        <v>15489.2</v>
      </c>
    </row>
    <row r="1382" spans="2:7">
      <c r="B1382" s="235"/>
      <c r="C1382" s="271" t="s">
        <v>926</v>
      </c>
      <c r="D1382" s="1" t="s">
        <v>185</v>
      </c>
      <c r="E1382" s="312">
        <v>50</v>
      </c>
      <c r="F1382" s="333">
        <f>TRUNC(774.47*0.6,2)</f>
        <v>464.68</v>
      </c>
      <c r="G1382" s="310">
        <f>TRUNC(E1382*F1382,2)</f>
        <v>23234</v>
      </c>
    </row>
    <row r="1383" spans="2:7">
      <c r="B1383" s="235"/>
      <c r="C1383" s="271" t="s">
        <v>927</v>
      </c>
      <c r="D1383" s="1" t="s">
        <v>185</v>
      </c>
      <c r="E1383" s="312">
        <v>100</v>
      </c>
      <c r="F1383" s="333">
        <f>TRUNC(774.47*0.5,2)</f>
        <v>387.23</v>
      </c>
      <c r="G1383" s="310">
        <f t="shared" si="58"/>
        <v>38723</v>
      </c>
    </row>
    <row r="1384" spans="2:7">
      <c r="B1384" s="235"/>
      <c r="C1384" s="271" t="s">
        <v>928</v>
      </c>
      <c r="D1384" s="1" t="s">
        <v>185</v>
      </c>
      <c r="E1384" s="312">
        <v>30</v>
      </c>
      <c r="F1384" s="333">
        <f>TRUNC(774.47*0.5,2)</f>
        <v>387.23</v>
      </c>
      <c r="G1384" s="310">
        <f t="shared" si="58"/>
        <v>11616.9</v>
      </c>
    </row>
    <row r="1385" spans="2:7">
      <c r="B1385" s="235"/>
      <c r="C1385" s="271" t="s">
        <v>929</v>
      </c>
      <c r="D1385" s="9" t="s">
        <v>185</v>
      </c>
      <c r="E1385" s="312">
        <v>64</v>
      </c>
      <c r="F1385" s="333">
        <f>TRUNC(774.47*0.6,2)</f>
        <v>464.68</v>
      </c>
      <c r="G1385" s="310">
        <f>TRUNC(E1385*F1385,2)</f>
        <v>29739.52</v>
      </c>
    </row>
    <row r="1386" spans="2:7">
      <c r="B1386" s="235"/>
      <c r="C1386" s="256" t="s">
        <v>886</v>
      </c>
      <c r="D1386" s="1"/>
      <c r="E1386" s="312"/>
      <c r="F1386" s="310"/>
      <c r="G1386" s="329">
        <f>SUM(G1378:G1385)</f>
        <v>181534.03999999998</v>
      </c>
    </row>
    <row r="1387" spans="2:7">
      <c r="B1387" s="235"/>
      <c r="C1387" s="256" t="s">
        <v>968</v>
      </c>
      <c r="D1387" s="1"/>
      <c r="E1387" s="312"/>
      <c r="F1387" s="310"/>
      <c r="G1387" s="329"/>
    </row>
    <row r="1388" spans="2:7">
      <c r="B1388" s="235"/>
      <c r="C1388" s="271" t="s">
        <v>894</v>
      </c>
      <c r="D1388" s="1" t="s">
        <v>889</v>
      </c>
      <c r="E1388" s="312">
        <v>12</v>
      </c>
      <c r="F1388" s="333">
        <v>1321.31</v>
      </c>
      <c r="G1388" s="310">
        <f>TRUNC(E1388*F1388,2)</f>
        <v>15855.72</v>
      </c>
    </row>
    <row r="1389" spans="2:7">
      <c r="B1389" s="235"/>
      <c r="C1389" s="271" t="s">
        <v>895</v>
      </c>
      <c r="D1389" s="1" t="s">
        <v>889</v>
      </c>
      <c r="E1389" s="312">
        <v>12</v>
      </c>
      <c r="F1389" s="333">
        <v>2896.79</v>
      </c>
      <c r="G1389" s="310">
        <f>TRUNC(E1389*F1389,2)</f>
        <v>34761.480000000003</v>
      </c>
    </row>
    <row r="1390" spans="2:7">
      <c r="B1390" s="235"/>
      <c r="C1390" s="271" t="s">
        <v>896</v>
      </c>
      <c r="D1390" s="1" t="s">
        <v>889</v>
      </c>
      <c r="E1390" s="312">
        <v>12</v>
      </c>
      <c r="F1390" s="333">
        <v>2300.4</v>
      </c>
      <c r="G1390" s="310">
        <f>TRUNC(E1390*F1390,2)</f>
        <v>27604.799999999999</v>
      </c>
    </row>
    <row r="1391" spans="2:7">
      <c r="B1391" s="235"/>
      <c r="C1391" s="256" t="s">
        <v>886</v>
      </c>
      <c r="D1391" s="1"/>
      <c r="E1391" s="312"/>
      <c r="F1391" s="310"/>
      <c r="G1391" s="329">
        <f>SUM(G1388:G1390)</f>
        <v>78222</v>
      </c>
    </row>
    <row r="1392" spans="2:7">
      <c r="B1392" s="235"/>
      <c r="C1392" s="256" t="s">
        <v>969</v>
      </c>
      <c r="D1392" s="1"/>
      <c r="E1392" s="312"/>
      <c r="F1392" s="310"/>
      <c r="G1392" s="329"/>
    </row>
    <row r="1393" spans="2:7">
      <c r="B1393" s="235"/>
      <c r="C1393" s="271" t="s">
        <v>893</v>
      </c>
      <c r="D1393" s="1" t="s">
        <v>889</v>
      </c>
      <c r="E1393" s="312">
        <v>12</v>
      </c>
      <c r="F1393" s="333">
        <v>577.33000000000004</v>
      </c>
      <c r="G1393" s="310">
        <f>TRUNC(E1393*F1393,2)</f>
        <v>6927.96</v>
      </c>
    </row>
    <row r="1394" spans="2:7">
      <c r="B1394" s="235"/>
      <c r="C1394" s="256" t="s">
        <v>886</v>
      </c>
      <c r="D1394" s="1"/>
      <c r="E1394" s="312"/>
      <c r="F1394" s="310"/>
      <c r="G1394" s="329">
        <f>SUM(G1393:G1393)</f>
        <v>6927.96</v>
      </c>
    </row>
    <row r="1395" spans="2:7">
      <c r="B1395" s="235"/>
      <c r="C1395" s="256" t="s">
        <v>970</v>
      </c>
      <c r="D1395" s="1"/>
      <c r="E1395" s="312"/>
      <c r="F1395" s="310"/>
      <c r="G1395" s="329"/>
    </row>
    <row r="1396" spans="2:7">
      <c r="B1396" s="235"/>
      <c r="C1396" s="271" t="s">
        <v>918</v>
      </c>
      <c r="D1396" s="1" t="s">
        <v>889</v>
      </c>
      <c r="E1396" s="312">
        <v>12</v>
      </c>
      <c r="F1396" s="333">
        <f>2772.39*2</f>
        <v>5544.78</v>
      </c>
      <c r="G1396" s="310">
        <f>TRUNC(E1396*F1396,2)</f>
        <v>66537.36</v>
      </c>
    </row>
    <row r="1397" spans="2:7">
      <c r="B1397" s="235"/>
      <c r="C1397" s="271" t="s">
        <v>919</v>
      </c>
      <c r="D1397" s="1" t="s">
        <v>889</v>
      </c>
      <c r="E1397" s="312">
        <v>12</v>
      </c>
      <c r="F1397" s="333">
        <f>3942.63*2</f>
        <v>7885.26</v>
      </c>
      <c r="G1397" s="310">
        <f>TRUNC(E1397*F1397,2)</f>
        <v>94623.12</v>
      </c>
    </row>
    <row r="1398" spans="2:7">
      <c r="B1398" s="235"/>
      <c r="C1398" s="256" t="s">
        <v>886</v>
      </c>
      <c r="D1398" s="1"/>
      <c r="E1398" s="312"/>
      <c r="F1398" s="310"/>
      <c r="G1398" s="329">
        <f>SUM(G1396:G1397)</f>
        <v>161160.47999999998</v>
      </c>
    </row>
    <row r="1399" spans="2:7">
      <c r="B1399" s="235"/>
      <c r="C1399" s="284" t="s">
        <v>897</v>
      </c>
      <c r="D1399" s="1"/>
      <c r="E1399" s="312"/>
      <c r="F1399" s="310"/>
      <c r="G1399" s="329"/>
    </row>
    <row r="1400" spans="2:7">
      <c r="B1400" s="235"/>
      <c r="C1400" s="263" t="s">
        <v>898</v>
      </c>
      <c r="D1400" s="9"/>
      <c r="E1400" s="173"/>
      <c r="F1400" s="173"/>
      <c r="G1400" s="173"/>
    </row>
    <row r="1401" spans="2:7">
      <c r="B1401" s="235" t="s">
        <v>811</v>
      </c>
      <c r="C1401" s="271" t="s">
        <v>899</v>
      </c>
      <c r="D1401" s="1" t="s">
        <v>878</v>
      </c>
      <c r="E1401" s="312">
        <f t="shared" ref="E1401:E1406" si="59">110*12</f>
        <v>1320</v>
      </c>
      <c r="F1401" s="310">
        <f>VLOOKUP(B1401,MÃODEOBRA!A:D,4,FALSE)</f>
        <v>11.16</v>
      </c>
      <c r="G1401" s="310">
        <f>TRUNC(E1401*F1401,2)</f>
        <v>14731.2</v>
      </c>
    </row>
    <row r="1402" spans="2:7">
      <c r="B1402" s="235" t="s">
        <v>816</v>
      </c>
      <c r="C1402" s="271" t="s">
        <v>900</v>
      </c>
      <c r="D1402" s="1" t="s">
        <v>878</v>
      </c>
      <c r="E1402" s="312">
        <f t="shared" si="59"/>
        <v>1320</v>
      </c>
      <c r="F1402" s="310">
        <f>VLOOKUP(B1402,MÃODEOBRA!A:D,4,FALSE)</f>
        <v>11.16</v>
      </c>
      <c r="G1402" s="310">
        <f t="shared" ref="G1402:G1407" si="60">TRUNC(E1402*F1402,2)</f>
        <v>14731.2</v>
      </c>
    </row>
    <row r="1403" spans="2:7">
      <c r="B1403" s="235" t="s">
        <v>814</v>
      </c>
      <c r="C1403" s="271" t="s">
        <v>901</v>
      </c>
      <c r="D1403" s="1" t="s">
        <v>878</v>
      </c>
      <c r="E1403" s="312">
        <f t="shared" si="59"/>
        <v>1320</v>
      </c>
      <c r="F1403" s="310">
        <f>VLOOKUP(B1403,MÃODEOBRA!A:D,4,FALSE)</f>
        <v>11.16</v>
      </c>
      <c r="G1403" s="310">
        <f t="shared" si="60"/>
        <v>14731.2</v>
      </c>
    </row>
    <row r="1404" spans="2:7">
      <c r="B1404" s="235" t="s">
        <v>824</v>
      </c>
      <c r="C1404" s="271" t="s">
        <v>902</v>
      </c>
      <c r="D1404" s="1" t="s">
        <v>878</v>
      </c>
      <c r="E1404" s="312">
        <f t="shared" si="59"/>
        <v>1320</v>
      </c>
      <c r="F1404" s="310">
        <f>VLOOKUP(B1404,MÃODEOBRA!A:D,4,FALSE)</f>
        <v>7.91</v>
      </c>
      <c r="G1404" s="310">
        <f t="shared" si="60"/>
        <v>10441.200000000001</v>
      </c>
    </row>
    <row r="1405" spans="2:7">
      <c r="B1405" s="235" t="s">
        <v>821</v>
      </c>
      <c r="C1405" s="271" t="s">
        <v>903</v>
      </c>
      <c r="D1405" s="1" t="s">
        <v>878</v>
      </c>
      <c r="E1405" s="312">
        <f t="shared" si="59"/>
        <v>1320</v>
      </c>
      <c r="F1405" s="310">
        <f>VLOOKUP(B1405,MÃODEOBRA!A:D,4,FALSE)</f>
        <v>11.16</v>
      </c>
      <c r="G1405" s="310">
        <f>TRUNC(E1405*F1405,2)</f>
        <v>14731.2</v>
      </c>
    </row>
    <row r="1406" spans="2:7">
      <c r="B1406" s="235" t="s">
        <v>812</v>
      </c>
      <c r="C1406" s="271" t="s">
        <v>904</v>
      </c>
      <c r="D1406" s="1" t="s">
        <v>878</v>
      </c>
      <c r="E1406" s="312">
        <f t="shared" si="59"/>
        <v>1320</v>
      </c>
      <c r="F1406" s="310">
        <f>VLOOKUP(B1406,MÃODEOBRA!A:D,4,FALSE)</f>
        <v>11.16</v>
      </c>
      <c r="G1406" s="310">
        <f>TRUNC(E1406*F1406,2)</f>
        <v>14731.2</v>
      </c>
    </row>
    <row r="1407" spans="2:7">
      <c r="B1407" s="235" t="s">
        <v>830</v>
      </c>
      <c r="C1407" s="271" t="s">
        <v>920</v>
      </c>
      <c r="D1407" s="1" t="s">
        <v>878</v>
      </c>
      <c r="E1407" s="312">
        <f>220*12*2</f>
        <v>5280</v>
      </c>
      <c r="F1407" s="310">
        <f>VLOOKUP(B1407,MÃODEOBRA!A:D,4,FALSE)</f>
        <v>5.6099999999999994</v>
      </c>
      <c r="G1407" s="310">
        <f t="shared" si="60"/>
        <v>29620.799999999999</v>
      </c>
    </row>
    <row r="1408" spans="2:7">
      <c r="B1408" s="235" t="s">
        <v>825</v>
      </c>
      <c r="C1408" s="271" t="s">
        <v>972</v>
      </c>
      <c r="D1408" s="1" t="s">
        <v>878</v>
      </c>
      <c r="E1408" s="312">
        <f>220*12</f>
        <v>2640</v>
      </c>
      <c r="F1408" s="310">
        <f>VLOOKUP(B1408,MÃODEOBRA!A:D,4,FALSE)</f>
        <v>5.6099999999999994</v>
      </c>
      <c r="G1408" s="310">
        <f>TRUNC(E1408*F1408,2)</f>
        <v>14810.4</v>
      </c>
    </row>
    <row r="1409" spans="2:7">
      <c r="B1409" s="235"/>
      <c r="C1409" s="256" t="s">
        <v>886</v>
      </c>
      <c r="D1409" s="1"/>
      <c r="E1409" s="312"/>
      <c r="F1409" s="310"/>
      <c r="G1409" s="329">
        <f>SUM(G1401:G1408)</f>
        <v>128528.4</v>
      </c>
    </row>
    <row r="1410" spans="2:7">
      <c r="B1410" s="234"/>
      <c r="C1410" s="263" t="s">
        <v>978</v>
      </c>
      <c r="D1410" s="9"/>
      <c r="E1410" s="173"/>
      <c r="F1410" s="173"/>
      <c r="G1410" s="173"/>
    </row>
    <row r="1411" spans="2:7">
      <c r="B1411" s="235"/>
      <c r="C1411" s="271" t="s">
        <v>905</v>
      </c>
      <c r="D1411" s="1" t="s">
        <v>545</v>
      </c>
      <c r="E1411" s="312">
        <v>1</v>
      </c>
      <c r="F1411" s="310">
        <v>3000</v>
      </c>
      <c r="G1411" s="310">
        <f>TRUNC(E1411*F1411,2)</f>
        <v>3000</v>
      </c>
    </row>
    <row r="1412" spans="2:7">
      <c r="B1412" s="235"/>
      <c r="C1412" s="271" t="s">
        <v>906</v>
      </c>
      <c r="D1412" s="1" t="s">
        <v>889</v>
      </c>
      <c r="E1412" s="312">
        <v>12</v>
      </c>
      <c r="F1412" s="310">
        <v>5000</v>
      </c>
      <c r="G1412" s="310">
        <f>TRUNC(E1412*F1412,2)</f>
        <v>60000</v>
      </c>
    </row>
    <row r="1413" spans="2:7">
      <c r="B1413" s="235"/>
      <c r="C1413" s="271" t="s">
        <v>907</v>
      </c>
      <c r="D1413" s="1" t="s">
        <v>194</v>
      </c>
      <c r="E1413" s="312">
        <v>1</v>
      </c>
      <c r="F1413" s="310">
        <v>200</v>
      </c>
      <c r="G1413" s="310">
        <f>TRUNC(E1413*F1413,2)</f>
        <v>200</v>
      </c>
    </row>
    <row r="1414" spans="2:7">
      <c r="B1414" s="235"/>
      <c r="C1414" s="271" t="s">
        <v>908</v>
      </c>
      <c r="D1414" s="1" t="s">
        <v>889</v>
      </c>
      <c r="E1414" s="312">
        <v>12</v>
      </c>
      <c r="F1414" s="310">
        <v>2000</v>
      </c>
      <c r="G1414" s="310">
        <f>TRUNC(E1414*F1414,2)</f>
        <v>24000</v>
      </c>
    </row>
    <row r="1415" spans="2:7">
      <c r="B1415" s="235"/>
      <c r="C1415" s="271" t="s">
        <v>909</v>
      </c>
      <c r="D1415" s="1" t="s">
        <v>889</v>
      </c>
      <c r="E1415" s="312">
        <v>12</v>
      </c>
      <c r="F1415" s="310">
        <v>3000</v>
      </c>
      <c r="G1415" s="310">
        <f>TRUNC(E1415*F1415,2)</f>
        <v>36000</v>
      </c>
    </row>
    <row r="1416" spans="2:7">
      <c r="B1416" s="235"/>
      <c r="C1416" s="256" t="s">
        <v>886</v>
      </c>
      <c r="D1416" s="1"/>
      <c r="E1416" s="312"/>
      <c r="F1416" s="310"/>
      <c r="G1416" s="329">
        <f>SUM(G1411:G1415)</f>
        <v>123200</v>
      </c>
    </row>
    <row r="1417" spans="2:7">
      <c r="B1417" s="234"/>
      <c r="C1417" s="263" t="s">
        <v>910</v>
      </c>
      <c r="D1417" s="9"/>
      <c r="E1417" s="173"/>
      <c r="F1417" s="173"/>
      <c r="G1417" s="173"/>
    </row>
    <row r="1418" spans="2:7">
      <c r="B1418" s="235" t="s">
        <v>973</v>
      </c>
      <c r="C1418" s="285" t="s">
        <v>974</v>
      </c>
      <c r="D1418" s="1" t="s">
        <v>185</v>
      </c>
      <c r="E1418" s="330">
        <f>260*2.5</f>
        <v>650</v>
      </c>
      <c r="F1418" s="297">
        <f>TRUNC((37.12/1.2031),2)</f>
        <v>30.85</v>
      </c>
      <c r="G1418" s="331">
        <f>TRUNC(E1418*F1418,2)</f>
        <v>20052.5</v>
      </c>
    </row>
    <row r="1419" spans="2:7">
      <c r="B1419" s="235"/>
      <c r="C1419" s="271" t="s">
        <v>911</v>
      </c>
      <c r="D1419" s="1" t="s">
        <v>889</v>
      </c>
      <c r="E1419" s="312">
        <v>12</v>
      </c>
      <c r="F1419" s="310">
        <v>2000</v>
      </c>
      <c r="G1419" s="310">
        <f>TRUNC(E1419*F1419,2)</f>
        <v>24000</v>
      </c>
    </row>
    <row r="1420" spans="2:7">
      <c r="B1420" s="235"/>
      <c r="C1420" s="256" t="s">
        <v>886</v>
      </c>
      <c r="D1420" s="1"/>
      <c r="E1420" s="312"/>
      <c r="F1420" s="310"/>
      <c r="G1420" s="329">
        <f>SUM(G1418:G1419)</f>
        <v>44052.5</v>
      </c>
    </row>
    <row r="1421" spans="2:7">
      <c r="B1421" s="234"/>
      <c r="C1421" s="263" t="s">
        <v>912</v>
      </c>
      <c r="D1421" s="9"/>
      <c r="E1421" s="173"/>
      <c r="F1421" s="173"/>
      <c r="G1421" s="173"/>
    </row>
    <row r="1422" spans="2:7">
      <c r="B1422" s="235"/>
      <c r="C1422" s="271" t="s">
        <v>913</v>
      </c>
      <c r="D1422" s="1" t="s">
        <v>878</v>
      </c>
      <c r="E1422" s="312">
        <f>110*12</f>
        <v>1320</v>
      </c>
      <c r="F1422" s="310">
        <v>81.45</v>
      </c>
      <c r="G1422" s="310">
        <f>TRUNC(E1422*F1422,2)</f>
        <v>107514</v>
      </c>
    </row>
    <row r="1423" spans="2:7">
      <c r="B1423" s="235"/>
      <c r="C1423" s="271" t="s">
        <v>1419</v>
      </c>
      <c r="D1423" s="1" t="s">
        <v>878</v>
      </c>
      <c r="E1423" s="312">
        <f>110*12</f>
        <v>1320</v>
      </c>
      <c r="F1423" s="310">
        <v>79.38</v>
      </c>
      <c r="G1423" s="310">
        <f>TRUNC(E1423*F1423,2)</f>
        <v>104781.6</v>
      </c>
    </row>
    <row r="1424" spans="2:7">
      <c r="B1424" s="235"/>
      <c r="C1424" s="271" t="s">
        <v>1420</v>
      </c>
      <c r="D1424" s="1" t="s">
        <v>878</v>
      </c>
      <c r="E1424" s="312">
        <f>110*12</f>
        <v>1320</v>
      </c>
      <c r="F1424" s="310">
        <v>103.47</v>
      </c>
      <c r="G1424" s="310">
        <f>TRUNC(E1424*F1424,2)</f>
        <v>136580.4</v>
      </c>
    </row>
    <row r="1425" spans="1:7">
      <c r="B1425" s="235"/>
      <c r="C1425" s="256" t="s">
        <v>886</v>
      </c>
      <c r="D1425" s="1"/>
      <c r="E1425" s="312"/>
      <c r="F1425" s="310"/>
      <c r="G1425" s="329">
        <f>SUM(G1422:G1424)</f>
        <v>348876</v>
      </c>
    </row>
    <row r="1426" spans="1:7">
      <c r="A1426" s="50"/>
      <c r="B1426" s="235"/>
      <c r="C1426" s="256" t="s">
        <v>1363</v>
      </c>
      <c r="D1426" s="1"/>
      <c r="E1426" s="312"/>
      <c r="F1426" s="296"/>
      <c r="G1426" s="296">
        <f>SUM(G1375+G1386+G1391+G1394+G1398+G1409,G1416,G1420,G1425)</f>
        <v>1087661.3799999999</v>
      </c>
    </row>
    <row r="1427" spans="1:7">
      <c r="A1427" s="50" t="s">
        <v>1365</v>
      </c>
      <c r="B1427" s="235"/>
      <c r="C1427" s="256" t="s">
        <v>1364</v>
      </c>
      <c r="D1427" s="1"/>
      <c r="E1427" s="312"/>
      <c r="F1427" s="296"/>
      <c r="G1427" s="296">
        <f>ROUND(G1426*1.2031,2)</f>
        <v>1308565.4099999999</v>
      </c>
    </row>
    <row r="1428" spans="1:7">
      <c r="A1428" s="50"/>
      <c r="B1428" s="235"/>
      <c r="C1428" s="256" t="s">
        <v>232</v>
      </c>
      <c r="D1428" s="2"/>
      <c r="E1428" s="94"/>
      <c r="F1428" s="296"/>
      <c r="G1428" s="296">
        <f>SUM(G82,G165,G410,G627,G703,G724,G759,G913,G949,G987,G1007,G1072,G1110,G1130,G1191,G1205,G1344,G1348,G1369,G1427)+'Ilum mão de obra'!K65</f>
        <v>46331547.890000001</v>
      </c>
    </row>
  </sheetData>
  <mergeCells count="7">
    <mergeCell ref="B1:G1"/>
    <mergeCell ref="A2:A3"/>
    <mergeCell ref="B2:B3"/>
    <mergeCell ref="C2:C3"/>
    <mergeCell ref="D2:D3"/>
    <mergeCell ref="E2:E3"/>
    <mergeCell ref="F2:G2"/>
  </mergeCells>
  <conditionalFormatting sqref="F1169:F1171 F1190 F1180:F1181 F1068 F1048:F1049 F1058:F1059 F640">
    <cfRule type="cellIs" dxfId="1" priority="60" stopIfTrue="1" operator="equal">
      <formula>0</formula>
    </cfRule>
  </conditionalFormatting>
  <conditionalFormatting sqref="B893:B896 C864 F808 C866:E875 C877:E893 C862:E863 F866 C836:E840 C808:E821 B822:D822 C823:E834 C655:D657 C644:E648 E654 D660:D702 C662:C676 C679:C701 D648:D654 E398">
    <cfRule type="cellIs" dxfId="0" priority="23" stopIfTrue="1" operator="equal">
      <formula>0</formula>
    </cfRule>
  </conditionalFormatting>
  <pageMargins left="0.98425196850393704" right="0.19685039370078741" top="0.98425196850393704" bottom="0.78740157480314965" header="0.51181102362204722" footer="0.51181102362204722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Q65"/>
  <sheetViews>
    <sheetView view="pageBreakPreview" topLeftCell="A55" zoomScaleSheetLayoutView="100" workbookViewId="0">
      <selection activeCell="K65" sqref="K65"/>
    </sheetView>
  </sheetViews>
  <sheetFormatPr defaultRowHeight="19.5" customHeight="1"/>
  <cols>
    <col min="1" max="1" width="9.140625" style="122"/>
    <col min="2" max="2" width="11.7109375" style="132" customWidth="1"/>
    <col min="3" max="3" width="54.7109375" style="133" customWidth="1"/>
    <col min="4" max="4" width="5.7109375" style="134" customWidth="1"/>
    <col min="5" max="6" width="8.7109375" style="135" customWidth="1"/>
    <col min="7" max="7" width="8.7109375" style="136" customWidth="1"/>
    <col min="8" max="9" width="8.7109375" style="135" customWidth="1"/>
    <col min="10" max="10" width="8.7109375" style="136" customWidth="1"/>
    <col min="11" max="11" width="11.85546875" style="137" bestFit="1" customWidth="1"/>
    <col min="12" max="12" width="8.7109375" style="125" customWidth="1"/>
    <col min="13" max="13" width="12.7109375" style="122" bestFit="1" customWidth="1"/>
    <col min="14" max="14" width="11.7109375" style="123" bestFit="1" customWidth="1"/>
    <col min="15" max="16384" width="9.140625" style="122"/>
  </cols>
  <sheetData>
    <row r="1" spans="2:16" s="100" customFormat="1" ht="19.5" customHeight="1">
      <c r="B1" s="140"/>
      <c r="C1" s="141"/>
      <c r="D1" s="6"/>
      <c r="E1" s="382" t="s">
        <v>1225</v>
      </c>
      <c r="F1" s="382" t="s">
        <v>1226</v>
      </c>
      <c r="G1" s="138" t="s">
        <v>1227</v>
      </c>
      <c r="H1" s="382" t="s">
        <v>1228</v>
      </c>
      <c r="I1" s="382" t="s">
        <v>1229</v>
      </c>
      <c r="J1" s="138" t="s">
        <v>1227</v>
      </c>
      <c r="K1" s="139"/>
      <c r="L1" s="99"/>
      <c r="N1" s="101"/>
    </row>
    <row r="2" spans="2:16" s="100" customFormat="1" ht="19.5" customHeight="1">
      <c r="B2" s="140" t="s">
        <v>43</v>
      </c>
      <c r="C2" s="142" t="s">
        <v>133</v>
      </c>
      <c r="D2" s="6" t="s">
        <v>1230</v>
      </c>
      <c r="E2" s="382"/>
      <c r="F2" s="382"/>
      <c r="G2" s="138" t="s">
        <v>1231</v>
      </c>
      <c r="H2" s="382"/>
      <c r="I2" s="382"/>
      <c r="J2" s="138" t="s">
        <v>1232</v>
      </c>
      <c r="K2" s="139" t="s">
        <v>232</v>
      </c>
      <c r="L2" s="99"/>
      <c r="N2" s="101"/>
    </row>
    <row r="3" spans="2:16" s="103" customFormat="1" ht="19.5" customHeight="1" thickBot="1">
      <c r="B3" s="160"/>
      <c r="C3" s="161"/>
      <c r="D3" s="162"/>
      <c r="E3" s="383"/>
      <c r="F3" s="383"/>
      <c r="G3" s="163" t="s">
        <v>1233</v>
      </c>
      <c r="H3" s="383"/>
      <c r="I3" s="383"/>
      <c r="J3" s="163" t="s">
        <v>1233</v>
      </c>
      <c r="K3" s="164"/>
      <c r="L3" s="102"/>
      <c r="N3" s="104"/>
    </row>
    <row r="4" spans="2:16" s="103" customFormat="1" ht="19.5" customHeight="1" thickTop="1">
      <c r="B4" s="157" t="s">
        <v>1224</v>
      </c>
      <c r="C4" s="158" t="s">
        <v>1234</v>
      </c>
      <c r="D4" s="165"/>
      <c r="E4" s="166"/>
      <c r="F4" s="167"/>
      <c r="G4" s="168"/>
      <c r="H4" s="166"/>
      <c r="I4" s="167"/>
      <c r="J4" s="169"/>
      <c r="K4" s="159"/>
      <c r="L4" s="102"/>
      <c r="N4" s="104"/>
    </row>
    <row r="5" spans="2:16" s="108" customFormat="1" ht="19.5" customHeight="1">
      <c r="B5" s="143"/>
      <c r="C5" s="145" t="s">
        <v>1235</v>
      </c>
      <c r="D5" s="384"/>
      <c r="E5" s="384"/>
      <c r="F5" s="384"/>
      <c r="G5" s="144">
        <v>26.13</v>
      </c>
      <c r="H5" s="144"/>
      <c r="I5" s="144"/>
      <c r="J5" s="144">
        <v>26.13</v>
      </c>
      <c r="K5" s="95"/>
      <c r="L5" s="105"/>
      <c r="M5" s="106"/>
      <c r="N5" s="107"/>
      <c r="O5" s="106"/>
      <c r="P5" s="106"/>
    </row>
    <row r="6" spans="2:16" s="108" customFormat="1" ht="15" customHeight="1">
      <c r="B6" s="147">
        <v>704</v>
      </c>
      <c r="C6" s="148" t="s">
        <v>1236</v>
      </c>
      <c r="D6" s="146" t="s">
        <v>348</v>
      </c>
      <c r="E6" s="149">
        <v>123</v>
      </c>
      <c r="F6" s="149">
        <v>1.3</v>
      </c>
      <c r="G6" s="150">
        <f>TRUNC(F6*$G$5*E6,2)</f>
        <v>4178.18</v>
      </c>
      <c r="H6" s="150">
        <v>0</v>
      </c>
      <c r="I6" s="150">
        <v>0</v>
      </c>
      <c r="J6" s="150">
        <f>TRUNC(I6*$J$5*H6,2)</f>
        <v>0</v>
      </c>
      <c r="K6" s="95">
        <f>G6+J6</f>
        <v>4178.18</v>
      </c>
      <c r="L6" s="105"/>
      <c r="M6" s="106"/>
      <c r="N6" s="107"/>
      <c r="O6" s="106"/>
      <c r="P6" s="106"/>
    </row>
    <row r="7" spans="2:16" s="112" customFormat="1" ht="15" customHeight="1">
      <c r="B7" s="151">
        <v>716</v>
      </c>
      <c r="C7" s="148" t="s">
        <v>1237</v>
      </c>
      <c r="D7" s="146" t="s">
        <v>348</v>
      </c>
      <c r="E7" s="149">
        <v>118</v>
      </c>
      <c r="F7" s="149">
        <v>2.19</v>
      </c>
      <c r="G7" s="150">
        <f t="shared" ref="G7:G64" si="0">TRUNC(F7*$G$5*E7,2)</f>
        <v>6752.51</v>
      </c>
      <c r="H7" s="149">
        <v>0</v>
      </c>
      <c r="I7" s="149">
        <v>0</v>
      </c>
      <c r="J7" s="150">
        <f t="shared" ref="J7:J64" si="1">TRUNC(I7*$J$5*H7,2)</f>
        <v>0</v>
      </c>
      <c r="K7" s="95">
        <f t="shared" ref="K7:K36" si="2">G7+J7</f>
        <v>6752.51</v>
      </c>
      <c r="L7" s="109"/>
      <c r="M7" s="110"/>
      <c r="N7" s="111"/>
      <c r="O7" s="110"/>
      <c r="P7" s="110"/>
    </row>
    <row r="8" spans="2:16" s="112" customFormat="1" ht="15" customHeight="1">
      <c r="B8" s="151">
        <v>743</v>
      </c>
      <c r="C8" s="148" t="s">
        <v>1238</v>
      </c>
      <c r="D8" s="146" t="s">
        <v>348</v>
      </c>
      <c r="E8" s="149">
        <v>120</v>
      </c>
      <c r="F8" s="149">
        <v>6.48</v>
      </c>
      <c r="G8" s="150">
        <f t="shared" si="0"/>
        <v>20318.68</v>
      </c>
      <c r="H8" s="149">
        <v>78</v>
      </c>
      <c r="I8" s="149">
        <v>2.59</v>
      </c>
      <c r="J8" s="150">
        <f t="shared" si="1"/>
        <v>5278.78</v>
      </c>
      <c r="K8" s="95">
        <f t="shared" si="2"/>
        <v>25597.46</v>
      </c>
      <c r="L8" s="109"/>
      <c r="M8" s="110"/>
      <c r="N8" s="111"/>
      <c r="O8" s="110"/>
      <c r="P8" s="110"/>
    </row>
    <row r="9" spans="2:16" s="112" customFormat="1" ht="15" customHeight="1">
      <c r="B9" s="151">
        <v>744</v>
      </c>
      <c r="C9" s="148" t="s">
        <v>1239</v>
      </c>
      <c r="D9" s="146" t="s">
        <v>348</v>
      </c>
      <c r="E9" s="149">
        <v>3</v>
      </c>
      <c r="F9" s="149">
        <v>12.31</v>
      </c>
      <c r="G9" s="150">
        <f t="shared" si="0"/>
        <v>964.98</v>
      </c>
      <c r="H9" s="149">
        <v>2</v>
      </c>
      <c r="I9" s="149">
        <v>4.92</v>
      </c>
      <c r="J9" s="150">
        <f t="shared" si="1"/>
        <v>257.11</v>
      </c>
      <c r="K9" s="95">
        <f t="shared" si="2"/>
        <v>1222.0900000000001</v>
      </c>
      <c r="L9" s="109"/>
      <c r="M9" s="110"/>
      <c r="N9" s="111"/>
      <c r="O9" s="110"/>
      <c r="P9" s="110"/>
    </row>
    <row r="10" spans="2:16" s="112" customFormat="1" ht="15" customHeight="1">
      <c r="B10" s="151">
        <v>745</v>
      </c>
      <c r="C10" s="148" t="s">
        <v>1240</v>
      </c>
      <c r="D10" s="146" t="s">
        <v>348</v>
      </c>
      <c r="E10" s="149">
        <v>2</v>
      </c>
      <c r="F10" s="149">
        <v>14.04</v>
      </c>
      <c r="G10" s="150">
        <f t="shared" si="0"/>
        <v>733.73</v>
      </c>
      <c r="H10" s="149">
        <v>1</v>
      </c>
      <c r="I10" s="149">
        <v>5.62</v>
      </c>
      <c r="J10" s="150">
        <f t="shared" si="1"/>
        <v>146.85</v>
      </c>
      <c r="K10" s="95">
        <f>G10+J10</f>
        <v>880.58</v>
      </c>
      <c r="L10" s="109"/>
      <c r="M10" s="110"/>
      <c r="N10" s="111"/>
      <c r="O10" s="110"/>
      <c r="P10" s="110"/>
    </row>
    <row r="11" spans="2:16" s="112" customFormat="1" ht="15" customHeight="1">
      <c r="B11" s="151">
        <v>750</v>
      </c>
      <c r="C11" s="148" t="s">
        <v>1241</v>
      </c>
      <c r="D11" s="146" t="s">
        <v>348</v>
      </c>
      <c r="E11" s="149">
        <v>6</v>
      </c>
      <c r="F11" s="149">
        <v>2.85</v>
      </c>
      <c r="G11" s="150">
        <f t="shared" si="0"/>
        <v>446.82</v>
      </c>
      <c r="H11" s="149">
        <v>0</v>
      </c>
      <c r="I11" s="149">
        <v>0</v>
      </c>
      <c r="J11" s="150">
        <f t="shared" si="1"/>
        <v>0</v>
      </c>
      <c r="K11" s="95">
        <f>G11+J11</f>
        <v>446.82</v>
      </c>
      <c r="L11" s="109"/>
      <c r="M11" s="110"/>
      <c r="N11" s="111"/>
      <c r="O11" s="110"/>
      <c r="P11" s="110"/>
    </row>
    <row r="12" spans="2:16" s="112" customFormat="1" ht="15" customHeight="1">
      <c r="B12" s="151">
        <v>751</v>
      </c>
      <c r="C12" s="148" t="s">
        <v>1242</v>
      </c>
      <c r="D12" s="146" t="s">
        <v>348</v>
      </c>
      <c r="E12" s="149">
        <v>141</v>
      </c>
      <c r="F12" s="149">
        <v>0.33</v>
      </c>
      <c r="G12" s="150">
        <f t="shared" si="0"/>
        <v>1215.82</v>
      </c>
      <c r="H12" s="149">
        <v>116</v>
      </c>
      <c r="I12" s="149">
        <v>0.13</v>
      </c>
      <c r="J12" s="150">
        <f t="shared" si="1"/>
        <v>394.04</v>
      </c>
      <c r="K12" s="95">
        <f t="shared" si="2"/>
        <v>1609.86</v>
      </c>
      <c r="L12" s="109"/>
      <c r="M12" s="110"/>
      <c r="N12" s="111"/>
      <c r="O12" s="110"/>
      <c r="P12" s="110"/>
    </row>
    <row r="13" spans="2:16" s="112" customFormat="1" ht="15" customHeight="1">
      <c r="B13" s="151">
        <v>752</v>
      </c>
      <c r="C13" s="148" t="s">
        <v>1243</v>
      </c>
      <c r="D13" s="146" t="s">
        <v>348</v>
      </c>
      <c r="E13" s="149">
        <v>49</v>
      </c>
      <c r="F13" s="149">
        <v>0.84</v>
      </c>
      <c r="G13" s="150">
        <f t="shared" si="0"/>
        <v>1075.51</v>
      </c>
      <c r="H13" s="149">
        <v>36</v>
      </c>
      <c r="I13" s="149">
        <v>0.34</v>
      </c>
      <c r="J13" s="150">
        <f t="shared" si="1"/>
        <v>319.83</v>
      </c>
      <c r="K13" s="95">
        <f t="shared" si="2"/>
        <v>1395.34</v>
      </c>
      <c r="L13" s="109"/>
      <c r="M13" s="110"/>
      <c r="N13" s="111"/>
      <c r="O13" s="110"/>
      <c r="P13" s="110"/>
    </row>
    <row r="14" spans="2:16" s="112" customFormat="1" ht="15" customHeight="1">
      <c r="B14" s="151">
        <v>753</v>
      </c>
      <c r="C14" s="148" t="s">
        <v>1244</v>
      </c>
      <c r="D14" s="146" t="s">
        <v>348</v>
      </c>
      <c r="E14" s="149">
        <v>15</v>
      </c>
      <c r="F14" s="149">
        <v>1.83</v>
      </c>
      <c r="G14" s="150">
        <f t="shared" si="0"/>
        <v>717.26</v>
      </c>
      <c r="H14" s="149">
        <v>31</v>
      </c>
      <c r="I14" s="149">
        <v>0.73</v>
      </c>
      <c r="J14" s="150">
        <f t="shared" si="1"/>
        <v>591.32000000000005</v>
      </c>
      <c r="K14" s="95">
        <f t="shared" si="2"/>
        <v>1308.58</v>
      </c>
      <c r="L14" s="109"/>
      <c r="M14" s="110"/>
      <c r="N14" s="111"/>
      <c r="O14" s="110"/>
      <c r="P14" s="110"/>
    </row>
    <row r="15" spans="2:16" s="112" customFormat="1" ht="15" customHeight="1">
      <c r="B15" s="151">
        <v>755</v>
      </c>
      <c r="C15" s="148" t="s">
        <v>1245</v>
      </c>
      <c r="D15" s="146" t="s">
        <v>348</v>
      </c>
      <c r="E15" s="149">
        <v>160</v>
      </c>
      <c r="F15" s="149">
        <v>0.44</v>
      </c>
      <c r="G15" s="150">
        <f t="shared" si="0"/>
        <v>1839.55</v>
      </c>
      <c r="H15" s="149">
        <v>143</v>
      </c>
      <c r="I15" s="149">
        <v>0.18</v>
      </c>
      <c r="J15" s="150">
        <f t="shared" si="1"/>
        <v>672.58</v>
      </c>
      <c r="K15" s="95">
        <f t="shared" si="2"/>
        <v>2512.13</v>
      </c>
      <c r="L15" s="109"/>
      <c r="M15" s="110"/>
      <c r="N15" s="111"/>
      <c r="O15" s="110"/>
      <c r="P15" s="110"/>
    </row>
    <row r="16" spans="2:16" s="116" customFormat="1" ht="15" customHeight="1">
      <c r="B16" s="151">
        <v>761</v>
      </c>
      <c r="C16" s="148" t="s">
        <v>1246</v>
      </c>
      <c r="D16" s="146" t="s">
        <v>348</v>
      </c>
      <c r="E16" s="149">
        <v>98</v>
      </c>
      <c r="F16" s="149">
        <v>0.39</v>
      </c>
      <c r="G16" s="150">
        <f t="shared" si="0"/>
        <v>998.68</v>
      </c>
      <c r="H16" s="149">
        <v>35</v>
      </c>
      <c r="I16" s="149">
        <v>0.16</v>
      </c>
      <c r="J16" s="150">
        <f t="shared" si="1"/>
        <v>146.32</v>
      </c>
      <c r="K16" s="95">
        <f t="shared" si="2"/>
        <v>1145</v>
      </c>
      <c r="L16" s="113"/>
      <c r="M16" s="114"/>
      <c r="N16" s="115"/>
      <c r="O16" s="114"/>
      <c r="P16" s="114"/>
    </row>
    <row r="17" spans="2:17" s="116" customFormat="1" ht="15" customHeight="1">
      <c r="B17" s="151">
        <v>762</v>
      </c>
      <c r="C17" s="148" t="s">
        <v>1247</v>
      </c>
      <c r="D17" s="146" t="s">
        <v>348</v>
      </c>
      <c r="E17" s="149">
        <v>18</v>
      </c>
      <c r="F17" s="149">
        <v>0.63</v>
      </c>
      <c r="G17" s="150">
        <f t="shared" si="0"/>
        <v>296.31</v>
      </c>
      <c r="H17" s="149">
        <v>79</v>
      </c>
      <c r="I17" s="149">
        <v>0.25</v>
      </c>
      <c r="J17" s="150">
        <f t="shared" si="1"/>
        <v>516.05999999999995</v>
      </c>
      <c r="K17" s="95">
        <f t="shared" si="2"/>
        <v>812.36999999999989</v>
      </c>
      <c r="L17" s="113"/>
      <c r="M17" s="114"/>
      <c r="N17" s="115"/>
      <c r="O17" s="114"/>
      <c r="P17" s="114"/>
    </row>
    <row r="18" spans="2:17" s="116" customFormat="1" ht="15" customHeight="1">
      <c r="B18" s="151">
        <v>769</v>
      </c>
      <c r="C18" s="148" t="s">
        <v>1248</v>
      </c>
      <c r="D18" s="146" t="s">
        <v>348</v>
      </c>
      <c r="E18" s="149">
        <v>6</v>
      </c>
      <c r="F18" s="149">
        <v>4.78</v>
      </c>
      <c r="G18" s="150">
        <f t="shared" si="0"/>
        <v>749.4</v>
      </c>
      <c r="H18" s="149">
        <v>0</v>
      </c>
      <c r="I18" s="149">
        <v>0</v>
      </c>
      <c r="J18" s="150">
        <f t="shared" si="1"/>
        <v>0</v>
      </c>
      <c r="K18" s="95">
        <f t="shared" si="2"/>
        <v>749.4</v>
      </c>
      <c r="L18" s="113"/>
      <c r="M18" s="114"/>
      <c r="N18" s="115"/>
      <c r="O18" s="114"/>
      <c r="P18" s="114"/>
    </row>
    <row r="19" spans="2:17" s="116" customFormat="1" ht="15" customHeight="1">
      <c r="B19" s="151">
        <v>771</v>
      </c>
      <c r="C19" s="148" t="s">
        <v>1249</v>
      </c>
      <c r="D19" s="146" t="s">
        <v>348</v>
      </c>
      <c r="E19" s="149">
        <v>0</v>
      </c>
      <c r="F19" s="149">
        <v>2.37</v>
      </c>
      <c r="G19" s="150">
        <f t="shared" si="0"/>
        <v>0</v>
      </c>
      <c r="H19" s="149">
        <v>3</v>
      </c>
      <c r="I19" s="149">
        <v>0.95</v>
      </c>
      <c r="J19" s="150">
        <f t="shared" si="1"/>
        <v>74.47</v>
      </c>
      <c r="K19" s="95">
        <f t="shared" si="2"/>
        <v>74.47</v>
      </c>
      <c r="L19" s="113"/>
      <c r="M19" s="114"/>
      <c r="N19" s="115"/>
      <c r="O19" s="114"/>
      <c r="P19" s="114"/>
    </row>
    <row r="20" spans="2:17" s="116" customFormat="1" ht="15" customHeight="1">
      <c r="B20" s="151">
        <v>772</v>
      </c>
      <c r="C20" s="148" t="s">
        <v>1250</v>
      </c>
      <c r="D20" s="146" t="s">
        <v>348</v>
      </c>
      <c r="E20" s="149">
        <v>3</v>
      </c>
      <c r="F20" s="149">
        <v>0.78</v>
      </c>
      <c r="G20" s="150">
        <f t="shared" si="0"/>
        <v>61.14</v>
      </c>
      <c r="H20" s="149">
        <v>9</v>
      </c>
      <c r="I20" s="149">
        <v>0.31</v>
      </c>
      <c r="J20" s="150">
        <f t="shared" si="1"/>
        <v>72.900000000000006</v>
      </c>
      <c r="K20" s="95">
        <f t="shared" si="2"/>
        <v>134.04000000000002</v>
      </c>
      <c r="L20" s="113"/>
      <c r="M20" s="114"/>
      <c r="N20" s="115"/>
      <c r="O20" s="114"/>
      <c r="P20" s="114"/>
    </row>
    <row r="21" spans="2:17" s="116" customFormat="1" ht="15" customHeight="1">
      <c r="B21" s="151">
        <v>775</v>
      </c>
      <c r="C21" s="148" t="s">
        <v>1251</v>
      </c>
      <c r="D21" s="146" t="s">
        <v>348</v>
      </c>
      <c r="E21" s="149">
        <v>2</v>
      </c>
      <c r="F21" s="149">
        <v>0.41</v>
      </c>
      <c r="G21" s="150">
        <f t="shared" si="0"/>
        <v>21.42</v>
      </c>
      <c r="H21" s="149">
        <v>0</v>
      </c>
      <c r="I21" s="149">
        <v>0</v>
      </c>
      <c r="J21" s="150">
        <f t="shared" si="1"/>
        <v>0</v>
      </c>
      <c r="K21" s="95">
        <f t="shared" si="2"/>
        <v>21.42</v>
      </c>
      <c r="L21" s="113"/>
      <c r="M21" s="114"/>
      <c r="N21" s="115"/>
      <c r="O21" s="114"/>
      <c r="P21" s="114"/>
    </row>
    <row r="22" spans="2:17" s="116" customFormat="1" ht="15" customHeight="1">
      <c r="B22" s="151">
        <v>780</v>
      </c>
      <c r="C22" s="148" t="s">
        <v>1252</v>
      </c>
      <c r="D22" s="146" t="s">
        <v>1253</v>
      </c>
      <c r="E22" s="149">
        <v>0.15</v>
      </c>
      <c r="F22" s="149">
        <v>15.42</v>
      </c>
      <c r="G22" s="150">
        <f t="shared" si="0"/>
        <v>60.43</v>
      </c>
      <c r="H22" s="149">
        <v>1.1299999999999999</v>
      </c>
      <c r="I22" s="149">
        <v>6.17</v>
      </c>
      <c r="J22" s="150">
        <f t="shared" si="1"/>
        <v>182.18</v>
      </c>
      <c r="K22" s="95">
        <f t="shared" si="2"/>
        <v>242.61</v>
      </c>
      <c r="L22" s="113"/>
      <c r="M22" s="114"/>
      <c r="N22" s="115"/>
      <c r="O22" s="114"/>
      <c r="P22" s="114"/>
    </row>
    <row r="23" spans="2:17" s="116" customFormat="1" ht="15" customHeight="1">
      <c r="B23" s="151">
        <v>782</v>
      </c>
      <c r="C23" s="148" t="s">
        <v>1254</v>
      </c>
      <c r="D23" s="146" t="s">
        <v>348</v>
      </c>
      <c r="E23" s="149">
        <v>0.04</v>
      </c>
      <c r="F23" s="149">
        <v>42.77</v>
      </c>
      <c r="G23" s="150">
        <f t="shared" si="0"/>
        <v>44.7</v>
      </c>
      <c r="H23" s="149">
        <v>0.82</v>
      </c>
      <c r="I23" s="149">
        <v>17.11</v>
      </c>
      <c r="J23" s="150">
        <f t="shared" si="1"/>
        <v>366.6</v>
      </c>
      <c r="K23" s="95">
        <f t="shared" si="2"/>
        <v>411.3</v>
      </c>
      <c r="L23" s="113"/>
      <c r="M23" s="114"/>
      <c r="N23" s="115"/>
      <c r="O23" s="114"/>
      <c r="P23" s="114"/>
    </row>
    <row r="24" spans="2:17" s="112" customFormat="1" ht="15" customHeight="1">
      <c r="B24" s="151">
        <v>792</v>
      </c>
      <c r="C24" s="148" t="s">
        <v>1255</v>
      </c>
      <c r="D24" s="146" t="s">
        <v>1253</v>
      </c>
      <c r="E24" s="149">
        <v>0.06</v>
      </c>
      <c r="F24" s="149">
        <v>11.53</v>
      </c>
      <c r="G24" s="150">
        <f t="shared" si="0"/>
        <v>18.07</v>
      </c>
      <c r="H24" s="149">
        <v>2.64</v>
      </c>
      <c r="I24" s="149">
        <v>4.6100000000000003</v>
      </c>
      <c r="J24" s="150">
        <f t="shared" si="1"/>
        <v>318.01</v>
      </c>
      <c r="K24" s="95">
        <f t="shared" si="2"/>
        <v>336.08</v>
      </c>
      <c r="L24" s="113"/>
      <c r="M24" s="110"/>
      <c r="N24" s="111"/>
      <c r="O24" s="110"/>
      <c r="P24" s="110"/>
    </row>
    <row r="25" spans="2:17" s="112" customFormat="1" ht="15" customHeight="1">
      <c r="B25" s="151">
        <v>793</v>
      </c>
      <c r="C25" s="148" t="s">
        <v>1256</v>
      </c>
      <c r="D25" s="146" t="s">
        <v>1253</v>
      </c>
      <c r="E25" s="149">
        <v>0.04</v>
      </c>
      <c r="F25" s="149">
        <v>14.72</v>
      </c>
      <c r="G25" s="150">
        <f t="shared" si="0"/>
        <v>15.38</v>
      </c>
      <c r="H25" s="149">
        <v>3.34</v>
      </c>
      <c r="I25" s="149">
        <v>5.89</v>
      </c>
      <c r="J25" s="150">
        <f t="shared" si="1"/>
        <v>514.04</v>
      </c>
      <c r="K25" s="95">
        <f t="shared" si="2"/>
        <v>529.41999999999996</v>
      </c>
      <c r="L25" s="113"/>
      <c r="M25" s="110"/>
      <c r="N25" s="111"/>
      <c r="O25" s="110"/>
      <c r="P25" s="110"/>
    </row>
    <row r="26" spans="2:17" s="112" customFormat="1" ht="15" customHeight="1">
      <c r="B26" s="151">
        <v>800</v>
      </c>
      <c r="C26" s="148" t="s">
        <v>1257</v>
      </c>
      <c r="D26" s="146" t="s">
        <v>348</v>
      </c>
      <c r="E26" s="149">
        <v>66</v>
      </c>
      <c r="F26" s="149">
        <v>0.44</v>
      </c>
      <c r="G26" s="150">
        <f t="shared" si="0"/>
        <v>758.81</v>
      </c>
      <c r="H26" s="149">
        <v>0</v>
      </c>
      <c r="I26" s="149">
        <v>0</v>
      </c>
      <c r="J26" s="150">
        <f t="shared" si="1"/>
        <v>0</v>
      </c>
      <c r="K26" s="95">
        <f t="shared" si="2"/>
        <v>758.81</v>
      </c>
      <c r="L26" s="109"/>
      <c r="M26" s="110"/>
      <c r="N26" s="111"/>
      <c r="O26" s="110"/>
      <c r="P26" s="110"/>
    </row>
    <row r="27" spans="2:17" s="112" customFormat="1" ht="15" customHeight="1">
      <c r="B27" s="151">
        <v>801</v>
      </c>
      <c r="C27" s="148" t="s">
        <v>1258</v>
      </c>
      <c r="D27" s="146" t="s">
        <v>348</v>
      </c>
      <c r="E27" s="149">
        <v>42</v>
      </c>
      <c r="F27" s="149">
        <v>0.37</v>
      </c>
      <c r="G27" s="150">
        <f t="shared" si="0"/>
        <v>406.06</v>
      </c>
      <c r="H27" s="149">
        <v>0</v>
      </c>
      <c r="I27" s="149">
        <v>0</v>
      </c>
      <c r="J27" s="150">
        <f t="shared" si="1"/>
        <v>0</v>
      </c>
      <c r="K27" s="95">
        <f t="shared" si="2"/>
        <v>406.06</v>
      </c>
      <c r="L27" s="109"/>
      <c r="M27" s="110"/>
      <c r="N27" s="111"/>
      <c r="O27" s="110"/>
      <c r="P27" s="110"/>
    </row>
    <row r="28" spans="2:17" s="112" customFormat="1" ht="15" customHeight="1">
      <c r="B28" s="151">
        <v>802</v>
      </c>
      <c r="C28" s="148" t="s">
        <v>1259</v>
      </c>
      <c r="D28" s="146" t="s">
        <v>348</v>
      </c>
      <c r="E28" s="149">
        <v>2</v>
      </c>
      <c r="F28" s="149">
        <v>0.71</v>
      </c>
      <c r="G28" s="150">
        <f t="shared" si="0"/>
        <v>37.1</v>
      </c>
      <c r="H28" s="149">
        <v>0</v>
      </c>
      <c r="I28" s="149">
        <v>0</v>
      </c>
      <c r="J28" s="150">
        <f t="shared" si="1"/>
        <v>0</v>
      </c>
      <c r="K28" s="95">
        <f t="shared" si="2"/>
        <v>37.1</v>
      </c>
      <c r="L28" s="109"/>
      <c r="M28" s="110"/>
      <c r="N28" s="111"/>
      <c r="O28" s="110"/>
      <c r="P28" s="110"/>
    </row>
    <row r="29" spans="2:17" s="121" customFormat="1" ht="15" customHeight="1">
      <c r="B29" s="151">
        <v>805</v>
      </c>
      <c r="C29" s="148" t="s">
        <v>1260</v>
      </c>
      <c r="D29" s="146" t="s">
        <v>348</v>
      </c>
      <c r="E29" s="149">
        <v>202</v>
      </c>
      <c r="F29" s="149">
        <v>0.27</v>
      </c>
      <c r="G29" s="150">
        <f t="shared" si="0"/>
        <v>1425.13</v>
      </c>
      <c r="H29" s="149">
        <v>283</v>
      </c>
      <c r="I29" s="149">
        <v>0.11</v>
      </c>
      <c r="J29" s="150">
        <f t="shared" si="1"/>
        <v>813.42</v>
      </c>
      <c r="K29" s="95">
        <f t="shared" si="2"/>
        <v>2238.5500000000002</v>
      </c>
      <c r="L29" s="117"/>
      <c r="M29" s="118"/>
      <c r="N29" s="119"/>
      <c r="O29" s="120"/>
      <c r="P29" s="120"/>
      <c r="Q29" s="120"/>
    </row>
    <row r="30" spans="2:17" s="121" customFormat="1" ht="15" customHeight="1">
      <c r="B30" s="151">
        <v>806</v>
      </c>
      <c r="C30" s="148" t="s">
        <v>1261</v>
      </c>
      <c r="D30" s="146" t="s">
        <v>348</v>
      </c>
      <c r="E30" s="149">
        <v>3</v>
      </c>
      <c r="F30" s="149">
        <v>1.63</v>
      </c>
      <c r="G30" s="150">
        <f t="shared" si="0"/>
        <v>127.77</v>
      </c>
      <c r="H30" s="149">
        <v>3</v>
      </c>
      <c r="I30" s="149">
        <v>0.65</v>
      </c>
      <c r="J30" s="150">
        <f t="shared" si="1"/>
        <v>50.95</v>
      </c>
      <c r="K30" s="95">
        <f t="shared" si="2"/>
        <v>178.72</v>
      </c>
      <c r="L30" s="117"/>
      <c r="M30" s="118"/>
      <c r="N30" s="119"/>
      <c r="O30" s="120"/>
      <c r="P30" s="120"/>
      <c r="Q30" s="120"/>
    </row>
    <row r="31" spans="2:17" s="121" customFormat="1" ht="15" customHeight="1">
      <c r="B31" s="151">
        <v>807</v>
      </c>
      <c r="C31" s="148" t="s">
        <v>1262</v>
      </c>
      <c r="D31" s="146" t="s">
        <v>348</v>
      </c>
      <c r="E31" s="149">
        <v>4</v>
      </c>
      <c r="F31" s="149">
        <v>1.01</v>
      </c>
      <c r="G31" s="150">
        <f t="shared" si="0"/>
        <v>105.56</v>
      </c>
      <c r="H31" s="149">
        <v>8</v>
      </c>
      <c r="I31" s="149">
        <v>0.4</v>
      </c>
      <c r="J31" s="150">
        <f t="shared" si="1"/>
        <v>83.61</v>
      </c>
      <c r="K31" s="95">
        <f t="shared" si="2"/>
        <v>189.17000000000002</v>
      </c>
      <c r="L31" s="117"/>
      <c r="M31" s="118"/>
      <c r="N31" s="119"/>
      <c r="O31" s="120"/>
      <c r="P31" s="120"/>
      <c r="Q31" s="120"/>
    </row>
    <row r="32" spans="2:17" ht="15" customHeight="1">
      <c r="B32" s="151">
        <v>808</v>
      </c>
      <c r="C32" s="148" t="s">
        <v>1263</v>
      </c>
      <c r="D32" s="146" t="s">
        <v>348</v>
      </c>
      <c r="E32" s="149">
        <v>47</v>
      </c>
      <c r="F32" s="149">
        <v>0.76</v>
      </c>
      <c r="G32" s="150">
        <f t="shared" si="0"/>
        <v>933.36</v>
      </c>
      <c r="H32" s="149">
        <v>0</v>
      </c>
      <c r="I32" s="149">
        <v>0</v>
      </c>
      <c r="J32" s="150">
        <f t="shared" si="1"/>
        <v>0</v>
      </c>
      <c r="K32" s="95">
        <f t="shared" si="2"/>
        <v>933.36</v>
      </c>
      <c r="L32" s="117"/>
    </row>
    <row r="33" spans="2:14" ht="15" customHeight="1">
      <c r="B33" s="151">
        <v>810</v>
      </c>
      <c r="C33" s="148" t="s">
        <v>1264</v>
      </c>
      <c r="D33" s="146" t="s">
        <v>348</v>
      </c>
      <c r="E33" s="149">
        <v>356</v>
      </c>
      <c r="F33" s="149">
        <v>0.31</v>
      </c>
      <c r="G33" s="150">
        <f t="shared" si="0"/>
        <v>2883.7</v>
      </c>
      <c r="H33" s="149">
        <v>346</v>
      </c>
      <c r="I33" s="149">
        <v>0.12</v>
      </c>
      <c r="J33" s="150">
        <f t="shared" si="1"/>
        <v>1084.9100000000001</v>
      </c>
      <c r="K33" s="95">
        <f t="shared" si="2"/>
        <v>3968.6099999999997</v>
      </c>
      <c r="L33" s="124"/>
    </row>
    <row r="34" spans="2:14" ht="15" customHeight="1">
      <c r="B34" s="151">
        <v>811</v>
      </c>
      <c r="C34" s="148" t="s">
        <v>1265</v>
      </c>
      <c r="D34" s="146" t="s">
        <v>348</v>
      </c>
      <c r="E34" s="149">
        <v>23</v>
      </c>
      <c r="F34" s="149">
        <v>0.38</v>
      </c>
      <c r="G34" s="150">
        <f t="shared" si="0"/>
        <v>228.37</v>
      </c>
      <c r="H34" s="149">
        <v>0</v>
      </c>
      <c r="I34" s="149">
        <v>0</v>
      </c>
      <c r="J34" s="150">
        <f t="shared" si="1"/>
        <v>0</v>
      </c>
      <c r="K34" s="95">
        <f t="shared" si="2"/>
        <v>228.37</v>
      </c>
    </row>
    <row r="35" spans="2:14" ht="15" customHeight="1">
      <c r="B35" s="151">
        <v>812</v>
      </c>
      <c r="C35" s="148" t="s">
        <v>1266</v>
      </c>
      <c r="D35" s="146" t="s">
        <v>348</v>
      </c>
      <c r="E35" s="149">
        <v>233</v>
      </c>
      <c r="F35" s="149">
        <v>0.43</v>
      </c>
      <c r="G35" s="150">
        <f t="shared" si="0"/>
        <v>2617.96</v>
      </c>
      <c r="H35" s="149">
        <v>0</v>
      </c>
      <c r="I35" s="149">
        <v>0</v>
      </c>
      <c r="J35" s="150">
        <f t="shared" si="1"/>
        <v>0</v>
      </c>
      <c r="K35" s="95">
        <f t="shared" si="2"/>
        <v>2617.96</v>
      </c>
    </row>
    <row r="36" spans="2:14" ht="15" customHeight="1">
      <c r="B36" s="151">
        <v>814</v>
      </c>
      <c r="C36" s="148" t="s">
        <v>1267</v>
      </c>
      <c r="D36" s="146" t="s">
        <v>348</v>
      </c>
      <c r="E36" s="149">
        <v>30</v>
      </c>
      <c r="F36" s="149">
        <v>1.01</v>
      </c>
      <c r="G36" s="150">
        <f t="shared" si="0"/>
        <v>791.73</v>
      </c>
      <c r="H36" s="149">
        <v>0</v>
      </c>
      <c r="I36" s="149">
        <v>0</v>
      </c>
      <c r="J36" s="150">
        <f t="shared" si="1"/>
        <v>0</v>
      </c>
      <c r="K36" s="95">
        <f t="shared" si="2"/>
        <v>791.73</v>
      </c>
    </row>
    <row r="37" spans="2:14" ht="15" customHeight="1">
      <c r="B37" s="151">
        <v>815</v>
      </c>
      <c r="C37" s="148" t="s">
        <v>1268</v>
      </c>
      <c r="D37" s="146" t="s">
        <v>348</v>
      </c>
      <c r="E37" s="149">
        <v>45</v>
      </c>
      <c r="F37" s="149">
        <v>1.77</v>
      </c>
      <c r="G37" s="150">
        <f t="shared" si="0"/>
        <v>2081.25</v>
      </c>
      <c r="H37" s="149">
        <v>0</v>
      </c>
      <c r="I37" s="149">
        <v>0</v>
      </c>
      <c r="J37" s="150">
        <f t="shared" si="1"/>
        <v>0</v>
      </c>
      <c r="K37" s="95">
        <f t="shared" ref="K37:K42" si="3">G37+J37</f>
        <v>2081.25</v>
      </c>
    </row>
    <row r="38" spans="2:14" ht="15" customHeight="1">
      <c r="B38" s="151">
        <v>824</v>
      </c>
      <c r="C38" s="148" t="s">
        <v>1269</v>
      </c>
      <c r="D38" s="146" t="s">
        <v>348</v>
      </c>
      <c r="E38" s="149">
        <v>39</v>
      </c>
      <c r="F38" s="149">
        <v>0.91</v>
      </c>
      <c r="G38" s="150">
        <f t="shared" si="0"/>
        <v>927.35</v>
      </c>
      <c r="H38" s="149">
        <v>36</v>
      </c>
      <c r="I38" s="149">
        <v>0.36</v>
      </c>
      <c r="J38" s="150">
        <f t="shared" si="1"/>
        <v>338.64</v>
      </c>
      <c r="K38" s="95">
        <f t="shared" si="3"/>
        <v>1265.99</v>
      </c>
    </row>
    <row r="39" spans="2:14" ht="15" customHeight="1">
      <c r="B39" s="151">
        <v>825</v>
      </c>
      <c r="C39" s="148" t="s">
        <v>1270</v>
      </c>
      <c r="D39" s="146" t="s">
        <v>348</v>
      </c>
      <c r="E39" s="149">
        <v>3</v>
      </c>
      <c r="F39" s="149">
        <v>7.46</v>
      </c>
      <c r="G39" s="150">
        <f t="shared" si="0"/>
        <v>584.78</v>
      </c>
      <c r="H39" s="149">
        <v>3</v>
      </c>
      <c r="I39" s="149">
        <v>2.98</v>
      </c>
      <c r="J39" s="150">
        <f t="shared" si="1"/>
        <v>233.6</v>
      </c>
      <c r="K39" s="95">
        <f t="shared" si="3"/>
        <v>818.38</v>
      </c>
    </row>
    <row r="40" spans="2:14" ht="15" customHeight="1">
      <c r="B40" s="151">
        <v>828</v>
      </c>
      <c r="C40" s="148" t="s">
        <v>1271</v>
      </c>
      <c r="D40" s="146" t="s">
        <v>348</v>
      </c>
      <c r="E40" s="149">
        <v>24</v>
      </c>
      <c r="F40" s="149">
        <v>0.86</v>
      </c>
      <c r="G40" s="150">
        <f t="shared" si="0"/>
        <v>539.32000000000005</v>
      </c>
      <c r="H40" s="149">
        <v>15</v>
      </c>
      <c r="I40" s="149">
        <v>0.34</v>
      </c>
      <c r="J40" s="150">
        <f t="shared" si="1"/>
        <v>133.26</v>
      </c>
      <c r="K40" s="95">
        <f t="shared" si="3"/>
        <v>672.58</v>
      </c>
    </row>
    <row r="41" spans="2:14" ht="15" customHeight="1">
      <c r="B41" s="151">
        <v>830</v>
      </c>
      <c r="C41" s="148" t="s">
        <v>1272</v>
      </c>
      <c r="D41" s="146" t="s">
        <v>348</v>
      </c>
      <c r="E41" s="149">
        <v>7</v>
      </c>
      <c r="F41" s="149">
        <v>4.7300000000000004</v>
      </c>
      <c r="G41" s="150">
        <f t="shared" si="0"/>
        <v>865.16</v>
      </c>
      <c r="H41" s="149">
        <v>6</v>
      </c>
      <c r="I41" s="149">
        <v>1.89</v>
      </c>
      <c r="J41" s="150">
        <f t="shared" si="1"/>
        <v>296.31</v>
      </c>
      <c r="K41" s="95">
        <f t="shared" si="3"/>
        <v>1161.47</v>
      </c>
    </row>
    <row r="42" spans="2:14" ht="15" customHeight="1">
      <c r="B42" s="151">
        <v>862</v>
      </c>
      <c r="C42" s="148" t="s">
        <v>1273</v>
      </c>
      <c r="D42" s="146" t="s">
        <v>348</v>
      </c>
      <c r="E42" s="149">
        <v>6</v>
      </c>
      <c r="F42" s="149">
        <v>12.41</v>
      </c>
      <c r="G42" s="150">
        <f t="shared" si="0"/>
        <v>1945.63</v>
      </c>
      <c r="H42" s="149">
        <v>0</v>
      </c>
      <c r="I42" s="149">
        <v>8.69</v>
      </c>
      <c r="J42" s="150">
        <f t="shared" si="1"/>
        <v>0</v>
      </c>
      <c r="K42" s="95">
        <f t="shared" si="3"/>
        <v>1945.63</v>
      </c>
    </row>
    <row r="43" spans="2:14" s="126" customFormat="1" ht="15" customHeight="1">
      <c r="B43" s="151">
        <v>863</v>
      </c>
      <c r="C43" s="148" t="s">
        <v>1274</v>
      </c>
      <c r="D43" s="146" t="s">
        <v>348</v>
      </c>
      <c r="E43" s="149">
        <v>15</v>
      </c>
      <c r="F43" s="149">
        <v>0.45</v>
      </c>
      <c r="G43" s="150">
        <f t="shared" si="0"/>
        <v>176.37</v>
      </c>
      <c r="H43" s="149">
        <v>0</v>
      </c>
      <c r="I43" s="149">
        <v>0</v>
      </c>
      <c r="J43" s="150">
        <f t="shared" si="1"/>
        <v>0</v>
      </c>
      <c r="K43" s="95">
        <f t="shared" ref="K43:K64" si="4">G43+J43</f>
        <v>176.37</v>
      </c>
      <c r="L43" s="125"/>
      <c r="N43" s="127"/>
    </row>
    <row r="44" spans="2:14" s="126" customFormat="1" ht="15" customHeight="1">
      <c r="B44" s="151">
        <v>874</v>
      </c>
      <c r="C44" s="148" t="s">
        <v>1275</v>
      </c>
      <c r="D44" s="146" t="s">
        <v>348</v>
      </c>
      <c r="E44" s="149">
        <v>5</v>
      </c>
      <c r="F44" s="149">
        <v>0.17</v>
      </c>
      <c r="G44" s="150">
        <f t="shared" si="0"/>
        <v>22.21</v>
      </c>
      <c r="H44" s="149">
        <v>0</v>
      </c>
      <c r="I44" s="149">
        <v>7.0000000000000007E-2</v>
      </c>
      <c r="J44" s="150">
        <f t="shared" si="1"/>
        <v>0</v>
      </c>
      <c r="K44" s="95">
        <f t="shared" si="4"/>
        <v>22.21</v>
      </c>
      <c r="L44" s="125"/>
      <c r="N44" s="127"/>
    </row>
    <row r="45" spans="2:14" s="126" customFormat="1" ht="15" customHeight="1">
      <c r="B45" s="151">
        <v>883</v>
      </c>
      <c r="C45" s="148" t="s">
        <v>1276</v>
      </c>
      <c r="D45" s="146" t="s">
        <v>348</v>
      </c>
      <c r="E45" s="149">
        <v>222</v>
      </c>
      <c r="F45" s="149">
        <v>0.23</v>
      </c>
      <c r="G45" s="150">
        <f t="shared" si="0"/>
        <v>1334.19</v>
      </c>
      <c r="H45" s="149">
        <v>215</v>
      </c>
      <c r="I45" s="149">
        <v>0</v>
      </c>
      <c r="J45" s="150">
        <f t="shared" si="1"/>
        <v>0</v>
      </c>
      <c r="K45" s="95">
        <f t="shared" si="4"/>
        <v>1334.19</v>
      </c>
      <c r="L45" s="125"/>
      <c r="N45" s="127"/>
    </row>
    <row r="46" spans="2:14" s="126" customFormat="1" ht="15" customHeight="1">
      <c r="B46" s="151">
        <v>900</v>
      </c>
      <c r="C46" s="148" t="s">
        <v>1277</v>
      </c>
      <c r="D46" s="146" t="s">
        <v>348</v>
      </c>
      <c r="E46" s="149">
        <v>0.46</v>
      </c>
      <c r="F46" s="149">
        <v>25.66</v>
      </c>
      <c r="G46" s="150">
        <f t="shared" si="0"/>
        <v>308.42</v>
      </c>
      <c r="H46" s="149">
        <v>0.02</v>
      </c>
      <c r="I46" s="149">
        <v>10.26</v>
      </c>
      <c r="J46" s="150">
        <f t="shared" si="1"/>
        <v>5.36</v>
      </c>
      <c r="K46" s="95">
        <f t="shared" si="4"/>
        <v>313.78000000000003</v>
      </c>
      <c r="L46" s="125"/>
      <c r="N46" s="127"/>
    </row>
    <row r="47" spans="2:14" s="126" customFormat="1" ht="15" customHeight="1">
      <c r="B47" s="151">
        <v>901</v>
      </c>
      <c r="C47" s="148" t="s">
        <v>1278</v>
      </c>
      <c r="D47" s="146" t="s">
        <v>348</v>
      </c>
      <c r="E47" s="149">
        <v>0.27</v>
      </c>
      <c r="F47" s="149">
        <v>33.82</v>
      </c>
      <c r="G47" s="150">
        <f t="shared" si="0"/>
        <v>238.6</v>
      </c>
      <c r="H47" s="149">
        <v>0</v>
      </c>
      <c r="I47" s="149">
        <v>13.53</v>
      </c>
      <c r="J47" s="150">
        <f t="shared" si="1"/>
        <v>0</v>
      </c>
      <c r="K47" s="95">
        <f t="shared" si="4"/>
        <v>238.6</v>
      </c>
      <c r="L47" s="125"/>
      <c r="N47" s="127"/>
    </row>
    <row r="48" spans="2:14" s="126" customFormat="1" ht="15" customHeight="1">
      <c r="B48" s="151">
        <v>902</v>
      </c>
      <c r="C48" s="148" t="s">
        <v>1279</v>
      </c>
      <c r="D48" s="146" t="s">
        <v>348</v>
      </c>
      <c r="E48" s="149">
        <v>1.1599999999999999</v>
      </c>
      <c r="F48" s="149">
        <v>30</v>
      </c>
      <c r="G48" s="150">
        <f t="shared" si="0"/>
        <v>909.32</v>
      </c>
      <c r="H48" s="149">
        <v>0.06</v>
      </c>
      <c r="I48" s="149">
        <v>12</v>
      </c>
      <c r="J48" s="150">
        <f t="shared" si="1"/>
        <v>18.809999999999999</v>
      </c>
      <c r="K48" s="95">
        <f t="shared" si="4"/>
        <v>928.13</v>
      </c>
      <c r="L48" s="125"/>
      <c r="N48" s="127"/>
    </row>
    <row r="49" spans="2:14" s="126" customFormat="1" ht="15" customHeight="1">
      <c r="B49" s="151">
        <v>904</v>
      </c>
      <c r="C49" s="148" t="s">
        <v>1280</v>
      </c>
      <c r="D49" s="146" t="s">
        <v>348</v>
      </c>
      <c r="E49" s="149">
        <v>0.8</v>
      </c>
      <c r="F49" s="149">
        <v>45.11</v>
      </c>
      <c r="G49" s="150">
        <f t="shared" si="0"/>
        <v>942.97</v>
      </c>
      <c r="H49" s="149">
        <v>0</v>
      </c>
      <c r="I49" s="149">
        <v>18.04</v>
      </c>
      <c r="J49" s="150">
        <f t="shared" si="1"/>
        <v>0</v>
      </c>
      <c r="K49" s="95">
        <f t="shared" si="4"/>
        <v>942.97</v>
      </c>
      <c r="L49" s="125"/>
      <c r="N49" s="127"/>
    </row>
    <row r="50" spans="2:14" s="126" customFormat="1" ht="15" customHeight="1">
      <c r="B50" s="151">
        <v>905</v>
      </c>
      <c r="C50" s="148" t="s">
        <v>1281</v>
      </c>
      <c r="D50" s="146" t="s">
        <v>348</v>
      </c>
      <c r="E50" s="149">
        <v>18</v>
      </c>
      <c r="F50" s="149">
        <v>0.86</v>
      </c>
      <c r="G50" s="150">
        <f t="shared" si="0"/>
        <v>404.49</v>
      </c>
      <c r="H50" s="149">
        <v>5</v>
      </c>
      <c r="I50" s="149">
        <v>0.34</v>
      </c>
      <c r="J50" s="150">
        <f t="shared" si="1"/>
        <v>44.42</v>
      </c>
      <c r="K50" s="95">
        <f t="shared" si="4"/>
        <v>448.91</v>
      </c>
      <c r="L50" s="125"/>
      <c r="N50" s="127"/>
    </row>
    <row r="51" spans="2:14" s="126" customFormat="1" ht="15" customHeight="1">
      <c r="B51" s="151">
        <v>906</v>
      </c>
      <c r="C51" s="148" t="s">
        <v>1282</v>
      </c>
      <c r="D51" s="146" t="s">
        <v>348</v>
      </c>
      <c r="E51" s="149">
        <v>85</v>
      </c>
      <c r="F51" s="149">
        <v>0.87</v>
      </c>
      <c r="G51" s="150">
        <f t="shared" si="0"/>
        <v>1932.31</v>
      </c>
      <c r="H51" s="149">
        <v>1</v>
      </c>
      <c r="I51" s="149">
        <v>0.35</v>
      </c>
      <c r="J51" s="150">
        <f t="shared" si="1"/>
        <v>9.14</v>
      </c>
      <c r="K51" s="95">
        <f t="shared" si="4"/>
        <v>1941.45</v>
      </c>
      <c r="L51" s="125"/>
      <c r="N51" s="127"/>
    </row>
    <row r="52" spans="2:14" s="126" customFormat="1" ht="15" customHeight="1">
      <c r="B52" s="151">
        <v>907</v>
      </c>
      <c r="C52" s="148" t="s">
        <v>1283</v>
      </c>
      <c r="D52" s="146" t="s">
        <v>348</v>
      </c>
      <c r="E52" s="149">
        <v>24</v>
      </c>
      <c r="F52" s="149">
        <v>0.12</v>
      </c>
      <c r="G52" s="150">
        <f t="shared" si="0"/>
        <v>75.25</v>
      </c>
      <c r="H52" s="149">
        <v>7</v>
      </c>
      <c r="I52" s="149">
        <v>0.05</v>
      </c>
      <c r="J52" s="150">
        <f t="shared" si="1"/>
        <v>9.14</v>
      </c>
      <c r="K52" s="95">
        <f t="shared" si="4"/>
        <v>84.39</v>
      </c>
      <c r="L52" s="125"/>
      <c r="N52" s="127"/>
    </row>
    <row r="53" spans="2:14" s="126" customFormat="1" ht="15" customHeight="1">
      <c r="B53" s="151">
        <v>909</v>
      </c>
      <c r="C53" s="148" t="s">
        <v>1284</v>
      </c>
      <c r="D53" s="146" t="s">
        <v>348</v>
      </c>
      <c r="E53" s="149">
        <v>36</v>
      </c>
      <c r="F53" s="149">
        <v>1</v>
      </c>
      <c r="G53" s="150">
        <f t="shared" si="0"/>
        <v>940.68</v>
      </c>
      <c r="H53" s="149">
        <v>12</v>
      </c>
      <c r="I53" s="149">
        <v>0.4</v>
      </c>
      <c r="J53" s="150">
        <f t="shared" si="1"/>
        <v>125.42</v>
      </c>
      <c r="K53" s="95">
        <f>G53+J53</f>
        <v>1066.0999999999999</v>
      </c>
      <c r="L53" s="125"/>
      <c r="N53" s="127"/>
    </row>
    <row r="54" spans="2:14" s="126" customFormat="1" ht="15" customHeight="1">
      <c r="B54" s="151">
        <v>910</v>
      </c>
      <c r="C54" s="148" t="s">
        <v>1285</v>
      </c>
      <c r="D54" s="146" t="s">
        <v>348</v>
      </c>
      <c r="E54" s="149">
        <v>3</v>
      </c>
      <c r="F54" s="149">
        <v>1.32</v>
      </c>
      <c r="G54" s="150">
        <f t="shared" si="0"/>
        <v>103.47</v>
      </c>
      <c r="H54" s="149">
        <v>0</v>
      </c>
      <c r="I54" s="149">
        <v>0.53</v>
      </c>
      <c r="J54" s="150">
        <f t="shared" si="1"/>
        <v>0</v>
      </c>
      <c r="K54" s="95">
        <f>G54+J54</f>
        <v>103.47</v>
      </c>
      <c r="L54" s="125"/>
      <c r="N54" s="127"/>
    </row>
    <row r="55" spans="2:14" ht="15" customHeight="1">
      <c r="B55" s="151">
        <v>911</v>
      </c>
      <c r="C55" s="148" t="s">
        <v>1286</v>
      </c>
      <c r="D55" s="146" t="s">
        <v>348</v>
      </c>
      <c r="E55" s="149">
        <v>42</v>
      </c>
      <c r="F55" s="149">
        <v>0.14000000000000001</v>
      </c>
      <c r="G55" s="150">
        <f t="shared" si="0"/>
        <v>153.63999999999999</v>
      </c>
      <c r="H55" s="149">
        <v>3</v>
      </c>
      <c r="I55" s="149">
        <v>0.06</v>
      </c>
      <c r="J55" s="150">
        <f t="shared" si="1"/>
        <v>4.7</v>
      </c>
      <c r="K55" s="95">
        <f t="shared" si="4"/>
        <v>158.33999999999997</v>
      </c>
      <c r="L55" s="128"/>
    </row>
    <row r="56" spans="2:14" ht="15" customHeight="1">
      <c r="B56" s="151">
        <v>912</v>
      </c>
      <c r="C56" s="148" t="s">
        <v>1287</v>
      </c>
      <c r="D56" s="146" t="s">
        <v>348</v>
      </c>
      <c r="E56" s="149">
        <v>6</v>
      </c>
      <c r="F56" s="149">
        <v>2.35</v>
      </c>
      <c r="G56" s="150">
        <f t="shared" si="0"/>
        <v>368.43</v>
      </c>
      <c r="H56" s="149">
        <v>0</v>
      </c>
      <c r="I56" s="149">
        <v>0.94</v>
      </c>
      <c r="J56" s="150">
        <f t="shared" si="1"/>
        <v>0</v>
      </c>
      <c r="K56" s="95">
        <f t="shared" si="4"/>
        <v>368.43</v>
      </c>
      <c r="L56" s="128"/>
    </row>
    <row r="57" spans="2:14" ht="15" customHeight="1">
      <c r="B57" s="151">
        <v>913</v>
      </c>
      <c r="C57" s="148" t="s">
        <v>1288</v>
      </c>
      <c r="D57" s="146" t="s">
        <v>348</v>
      </c>
      <c r="E57" s="149">
        <v>12</v>
      </c>
      <c r="F57" s="149">
        <v>1.5</v>
      </c>
      <c r="G57" s="150">
        <f t="shared" si="0"/>
        <v>470.34</v>
      </c>
      <c r="H57" s="149">
        <v>0</v>
      </c>
      <c r="I57" s="149">
        <v>0.6</v>
      </c>
      <c r="J57" s="150">
        <f t="shared" si="1"/>
        <v>0</v>
      </c>
      <c r="K57" s="95">
        <f t="shared" si="4"/>
        <v>470.34</v>
      </c>
      <c r="L57" s="128"/>
    </row>
    <row r="58" spans="2:14" ht="15" customHeight="1">
      <c r="B58" s="151">
        <v>915</v>
      </c>
      <c r="C58" s="148" t="s">
        <v>1289</v>
      </c>
      <c r="D58" s="146" t="s">
        <v>348</v>
      </c>
      <c r="E58" s="149">
        <v>1</v>
      </c>
      <c r="F58" s="149">
        <v>1.05</v>
      </c>
      <c r="G58" s="150">
        <f t="shared" si="0"/>
        <v>27.43</v>
      </c>
      <c r="H58" s="149">
        <v>0</v>
      </c>
      <c r="I58" s="149">
        <v>0.42</v>
      </c>
      <c r="J58" s="150">
        <f t="shared" si="1"/>
        <v>0</v>
      </c>
      <c r="K58" s="95">
        <f t="shared" si="4"/>
        <v>27.43</v>
      </c>
      <c r="L58" s="128"/>
    </row>
    <row r="59" spans="2:14" ht="15" customHeight="1">
      <c r="B59" s="151">
        <v>916</v>
      </c>
      <c r="C59" s="148" t="s">
        <v>1290</v>
      </c>
      <c r="D59" s="146" t="s">
        <v>348</v>
      </c>
      <c r="E59" s="149">
        <v>11</v>
      </c>
      <c r="F59" s="149">
        <v>1.52</v>
      </c>
      <c r="G59" s="150">
        <f t="shared" si="0"/>
        <v>436.89</v>
      </c>
      <c r="H59" s="149">
        <v>4</v>
      </c>
      <c r="I59" s="149">
        <v>0.61</v>
      </c>
      <c r="J59" s="150">
        <f t="shared" si="1"/>
        <v>63.75</v>
      </c>
      <c r="K59" s="95">
        <f t="shared" si="4"/>
        <v>500.64</v>
      </c>
      <c r="L59" s="128"/>
    </row>
    <row r="60" spans="2:14" ht="15" customHeight="1">
      <c r="B60" s="151">
        <v>919</v>
      </c>
      <c r="C60" s="148" t="s">
        <v>1291</v>
      </c>
      <c r="D60" s="146" t="s">
        <v>348</v>
      </c>
      <c r="E60" s="149">
        <v>15</v>
      </c>
      <c r="F60" s="149">
        <v>0.92</v>
      </c>
      <c r="G60" s="150">
        <f t="shared" si="0"/>
        <v>360.59</v>
      </c>
      <c r="H60" s="149">
        <v>2</v>
      </c>
      <c r="I60" s="149">
        <v>0.37</v>
      </c>
      <c r="J60" s="150">
        <f t="shared" si="1"/>
        <v>19.329999999999998</v>
      </c>
      <c r="K60" s="95">
        <f t="shared" si="4"/>
        <v>379.91999999999996</v>
      </c>
      <c r="L60" s="128"/>
    </row>
    <row r="61" spans="2:14" ht="15" customHeight="1">
      <c r="B61" s="151">
        <v>920</v>
      </c>
      <c r="C61" s="148" t="s">
        <v>1292</v>
      </c>
      <c r="D61" s="146" t="s">
        <v>348</v>
      </c>
      <c r="E61" s="149">
        <v>4</v>
      </c>
      <c r="F61" s="149">
        <v>0.92</v>
      </c>
      <c r="G61" s="150">
        <f t="shared" si="0"/>
        <v>96.15</v>
      </c>
      <c r="H61" s="149">
        <v>1</v>
      </c>
      <c r="I61" s="149">
        <v>0.37</v>
      </c>
      <c r="J61" s="150">
        <f t="shared" si="1"/>
        <v>9.66</v>
      </c>
      <c r="K61" s="95">
        <f t="shared" si="4"/>
        <v>105.81</v>
      </c>
      <c r="L61" s="128"/>
    </row>
    <row r="62" spans="2:14" ht="15" customHeight="1">
      <c r="B62" s="151">
        <v>940</v>
      </c>
      <c r="C62" s="148" t="s">
        <v>1293</v>
      </c>
      <c r="D62" s="146" t="s">
        <v>348</v>
      </c>
      <c r="E62" s="149">
        <v>3.77</v>
      </c>
      <c r="F62" s="152">
        <v>36.5</v>
      </c>
      <c r="G62" s="150">
        <f t="shared" si="0"/>
        <v>3595.61</v>
      </c>
      <c r="H62" s="149">
        <v>0.26</v>
      </c>
      <c r="I62" s="152">
        <v>14.6</v>
      </c>
      <c r="J62" s="150">
        <f t="shared" si="1"/>
        <v>99.18</v>
      </c>
      <c r="K62" s="95">
        <f t="shared" si="4"/>
        <v>3694.79</v>
      </c>
    </row>
    <row r="63" spans="2:14" ht="15" customHeight="1">
      <c r="B63" s="151">
        <v>942</v>
      </c>
      <c r="C63" s="148" t="s">
        <v>1294</v>
      </c>
      <c r="D63" s="146" t="s">
        <v>348</v>
      </c>
      <c r="E63" s="149">
        <v>438</v>
      </c>
      <c r="F63" s="153">
        <v>0.2</v>
      </c>
      <c r="G63" s="150">
        <f t="shared" si="0"/>
        <v>2288.98</v>
      </c>
      <c r="H63" s="149">
        <v>18</v>
      </c>
      <c r="I63" s="153">
        <v>0.08</v>
      </c>
      <c r="J63" s="150">
        <f t="shared" si="1"/>
        <v>37.619999999999997</v>
      </c>
      <c r="K63" s="95">
        <f t="shared" si="4"/>
        <v>2326.6</v>
      </c>
    </row>
    <row r="64" spans="2:14" ht="15" customHeight="1">
      <c r="B64" s="151">
        <v>944</v>
      </c>
      <c r="C64" s="148" t="s">
        <v>1295</v>
      </c>
      <c r="D64" s="146" t="s">
        <v>348</v>
      </c>
      <c r="E64" s="149">
        <v>81</v>
      </c>
      <c r="F64" s="153">
        <v>0.39</v>
      </c>
      <c r="G64" s="150">
        <f t="shared" si="0"/>
        <v>825.44</v>
      </c>
      <c r="H64" s="149">
        <v>0</v>
      </c>
      <c r="I64" s="153">
        <v>0.16</v>
      </c>
      <c r="J64" s="150">
        <f t="shared" si="1"/>
        <v>0</v>
      </c>
      <c r="K64" s="95">
        <f t="shared" si="4"/>
        <v>825.44</v>
      </c>
    </row>
    <row r="65" spans="1:15" s="131" customFormat="1" ht="20.100000000000001" customHeight="1">
      <c r="A65" s="131" t="s">
        <v>1367</v>
      </c>
      <c r="B65" s="154"/>
      <c r="C65" s="155" t="s">
        <v>1296</v>
      </c>
      <c r="D65" s="381"/>
      <c r="E65" s="381"/>
      <c r="F65" s="381"/>
      <c r="G65" s="381"/>
      <c r="H65" s="381"/>
      <c r="I65" s="381"/>
      <c r="J65" s="381"/>
      <c r="K65" s="156">
        <f>SUM(K6:K64)</f>
        <v>87111.710000000021</v>
      </c>
      <c r="L65" s="129"/>
      <c r="M65" s="130"/>
      <c r="N65" s="129"/>
      <c r="O65" s="129"/>
    </row>
  </sheetData>
  <mergeCells count="6">
    <mergeCell ref="D65:J65"/>
    <mergeCell ref="E1:E3"/>
    <mergeCell ref="F1:F3"/>
    <mergeCell ref="H1:H3"/>
    <mergeCell ref="I1:I3"/>
    <mergeCell ref="D5:F5"/>
  </mergeCells>
  <printOptions horizontalCentered="1"/>
  <pageMargins left="0.98425196850393704" right="0.39370078740157483" top="0.78740157480314965" bottom="0.39370078740157483" header="0.31496062992125984" footer="0.31496062992125984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R439"/>
  <sheetViews>
    <sheetView showGridLines="0" showZeros="0" view="pageBreakPreview" topLeftCell="A417" zoomScale="60" zoomScaleNormal="70" zoomScaleSheetLayoutView="75" workbookViewId="0">
      <selection activeCell="AB70" sqref="AB70:AI73"/>
    </sheetView>
  </sheetViews>
  <sheetFormatPr defaultColWidth="3.7109375" defaultRowHeight="18" customHeight="1"/>
  <cols>
    <col min="1" max="2" width="9.140625" style="7" customWidth="1"/>
    <col min="3" max="5" width="5.5703125" style="7" customWidth="1"/>
    <col min="6" max="40" width="3.7109375" style="7" customWidth="1"/>
    <col min="41" max="44" width="3.85546875" style="7" customWidth="1"/>
    <col min="45" max="16384" width="3.7109375" style="7"/>
  </cols>
  <sheetData>
    <row r="1" spans="3:44" ht="18" customHeight="1">
      <c r="AG1" s="8"/>
      <c r="AH1" s="8"/>
    </row>
    <row r="2" spans="3:44" ht="18" customHeight="1">
      <c r="C2" s="496" t="s">
        <v>64</v>
      </c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  <c r="AM2" s="497"/>
      <c r="AN2" s="497"/>
      <c r="AO2" s="497"/>
      <c r="AP2" s="497"/>
      <c r="AQ2" s="497"/>
      <c r="AR2" s="498"/>
    </row>
    <row r="3" spans="3:44" ht="18" customHeight="1">
      <c r="C3" s="499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0"/>
      <c r="Z3" s="500"/>
      <c r="AA3" s="500"/>
      <c r="AB3" s="500"/>
      <c r="AC3" s="500"/>
      <c r="AD3" s="500"/>
      <c r="AE3" s="500"/>
      <c r="AF3" s="500"/>
      <c r="AG3" s="500"/>
      <c r="AH3" s="500"/>
      <c r="AI3" s="500"/>
      <c r="AJ3" s="500"/>
      <c r="AK3" s="500"/>
      <c r="AL3" s="500"/>
      <c r="AM3" s="500"/>
      <c r="AN3" s="500"/>
      <c r="AO3" s="500"/>
      <c r="AP3" s="500"/>
      <c r="AQ3" s="500"/>
      <c r="AR3" s="501"/>
    </row>
    <row r="4" spans="3:44" ht="18" customHeight="1">
      <c r="C4" s="502" t="s">
        <v>65</v>
      </c>
      <c r="D4" s="503"/>
      <c r="E4" s="503"/>
      <c r="F4" s="504"/>
      <c r="G4" s="508" t="s">
        <v>682</v>
      </c>
      <c r="H4" s="509"/>
      <c r="I4" s="509"/>
      <c r="J4" s="509"/>
      <c r="K4" s="512" t="s">
        <v>66</v>
      </c>
      <c r="L4" s="512"/>
      <c r="M4" s="512"/>
      <c r="N4" s="513"/>
      <c r="O4" s="522" t="s">
        <v>109</v>
      </c>
      <c r="P4" s="523"/>
      <c r="Q4" s="523"/>
      <c r="R4" s="523"/>
      <c r="S4" s="523"/>
      <c r="T4" s="523"/>
      <c r="U4" s="523"/>
      <c r="V4" s="523"/>
      <c r="W4" s="523"/>
      <c r="X4" s="523"/>
      <c r="Y4" s="523"/>
      <c r="Z4" s="523"/>
      <c r="AA4" s="523"/>
      <c r="AB4" s="523"/>
      <c r="AC4" s="523"/>
      <c r="AD4" s="523"/>
      <c r="AE4" s="523"/>
      <c r="AF4" s="523"/>
      <c r="AG4" s="523"/>
      <c r="AH4" s="523"/>
      <c r="AI4" s="523"/>
      <c r="AJ4" s="523"/>
      <c r="AK4" s="523"/>
      <c r="AL4" s="512" t="s">
        <v>67</v>
      </c>
      <c r="AM4" s="512"/>
      <c r="AN4" s="512"/>
      <c r="AO4" s="513"/>
      <c r="AP4" s="516" t="s">
        <v>104</v>
      </c>
      <c r="AQ4" s="517"/>
      <c r="AR4" s="518"/>
    </row>
    <row r="5" spans="3:44" ht="18" customHeight="1">
      <c r="C5" s="505"/>
      <c r="D5" s="506"/>
      <c r="E5" s="506"/>
      <c r="F5" s="507"/>
      <c r="G5" s="510"/>
      <c r="H5" s="511"/>
      <c r="I5" s="511"/>
      <c r="J5" s="511"/>
      <c r="K5" s="514"/>
      <c r="L5" s="514"/>
      <c r="M5" s="514"/>
      <c r="N5" s="515"/>
      <c r="O5" s="524"/>
      <c r="P5" s="525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  <c r="AC5" s="525"/>
      <c r="AD5" s="525"/>
      <c r="AE5" s="525"/>
      <c r="AF5" s="525"/>
      <c r="AG5" s="525"/>
      <c r="AH5" s="525"/>
      <c r="AI5" s="525"/>
      <c r="AJ5" s="525"/>
      <c r="AK5" s="525"/>
      <c r="AL5" s="514"/>
      <c r="AM5" s="514"/>
      <c r="AN5" s="514"/>
      <c r="AO5" s="515"/>
      <c r="AP5" s="519"/>
      <c r="AQ5" s="520"/>
      <c r="AR5" s="521"/>
    </row>
    <row r="7" spans="3:44" ht="18" customHeight="1">
      <c r="C7" s="461" t="s">
        <v>43</v>
      </c>
      <c r="D7" s="451"/>
      <c r="E7" s="451"/>
      <c r="F7" s="451" t="s">
        <v>68</v>
      </c>
      <c r="G7" s="451"/>
      <c r="H7" s="451"/>
      <c r="I7" s="451"/>
      <c r="J7" s="451"/>
      <c r="K7" s="451"/>
      <c r="L7" s="451"/>
      <c r="M7" s="451"/>
      <c r="N7" s="451"/>
      <c r="O7" s="451"/>
      <c r="P7" s="451"/>
      <c r="Q7" s="451"/>
      <c r="R7" s="451"/>
      <c r="S7" s="451"/>
      <c r="T7" s="451"/>
      <c r="U7" s="451"/>
      <c r="V7" s="451" t="s">
        <v>249</v>
      </c>
      <c r="W7" s="451"/>
      <c r="X7" s="451"/>
      <c r="Y7" s="451" t="s">
        <v>69</v>
      </c>
      <c r="Z7" s="451"/>
      <c r="AA7" s="451"/>
      <c r="AB7" s="451"/>
      <c r="AC7" s="451"/>
      <c r="AD7" s="451"/>
      <c r="AE7" s="451"/>
      <c r="AF7" s="451"/>
      <c r="AG7" s="451" t="s">
        <v>70</v>
      </c>
      <c r="AH7" s="451"/>
      <c r="AI7" s="451"/>
      <c r="AJ7" s="451"/>
      <c r="AK7" s="451"/>
      <c r="AL7" s="451"/>
      <c r="AM7" s="451"/>
      <c r="AN7" s="451"/>
      <c r="AO7" s="451" t="s">
        <v>71</v>
      </c>
      <c r="AP7" s="451"/>
      <c r="AQ7" s="451"/>
      <c r="AR7" s="453"/>
    </row>
    <row r="8" spans="3:44" ht="18" customHeight="1">
      <c r="C8" s="462"/>
      <c r="D8" s="452"/>
      <c r="E8" s="452"/>
      <c r="F8" s="452"/>
      <c r="G8" s="452"/>
      <c r="H8" s="452"/>
      <c r="I8" s="452"/>
      <c r="J8" s="452"/>
      <c r="K8" s="452"/>
      <c r="L8" s="452"/>
      <c r="M8" s="452"/>
      <c r="N8" s="452"/>
      <c r="O8" s="452"/>
      <c r="P8" s="452"/>
      <c r="Q8" s="452"/>
      <c r="R8" s="452"/>
      <c r="S8" s="452"/>
      <c r="T8" s="452"/>
      <c r="U8" s="452"/>
      <c r="V8" s="452"/>
      <c r="W8" s="452"/>
      <c r="X8" s="452"/>
      <c r="Y8" s="452" t="s">
        <v>72</v>
      </c>
      <c r="Z8" s="452"/>
      <c r="AA8" s="452"/>
      <c r="AB8" s="452"/>
      <c r="AC8" s="452" t="s">
        <v>73</v>
      </c>
      <c r="AD8" s="452"/>
      <c r="AE8" s="452"/>
      <c r="AF8" s="452"/>
      <c r="AG8" s="452" t="s">
        <v>72</v>
      </c>
      <c r="AH8" s="452"/>
      <c r="AI8" s="452"/>
      <c r="AJ8" s="452"/>
      <c r="AK8" s="452" t="s">
        <v>73</v>
      </c>
      <c r="AL8" s="452"/>
      <c r="AM8" s="452"/>
      <c r="AN8" s="452"/>
      <c r="AO8" s="452"/>
      <c r="AP8" s="452"/>
      <c r="AQ8" s="452"/>
      <c r="AR8" s="454"/>
    </row>
    <row r="9" spans="3:44" ht="18" customHeight="1">
      <c r="C9" s="455"/>
      <c r="D9" s="456"/>
      <c r="E9" s="456"/>
      <c r="F9" s="493"/>
      <c r="G9" s="493"/>
      <c r="H9" s="493"/>
      <c r="I9" s="493"/>
      <c r="J9" s="493"/>
      <c r="K9" s="493"/>
      <c r="L9" s="493"/>
      <c r="M9" s="493"/>
      <c r="N9" s="493"/>
      <c r="O9" s="493"/>
      <c r="P9" s="493"/>
      <c r="Q9" s="493"/>
      <c r="R9" s="493"/>
      <c r="S9" s="493"/>
      <c r="T9" s="493"/>
      <c r="U9" s="493"/>
      <c r="V9" s="491"/>
      <c r="W9" s="491"/>
      <c r="X9" s="491"/>
      <c r="Y9" s="491"/>
      <c r="Z9" s="491"/>
      <c r="AA9" s="491"/>
      <c r="AB9" s="491"/>
      <c r="AC9" s="494"/>
      <c r="AD9" s="494"/>
      <c r="AE9" s="494"/>
      <c r="AF9" s="494"/>
      <c r="AG9" s="491"/>
      <c r="AH9" s="491"/>
      <c r="AI9" s="491"/>
      <c r="AJ9" s="491"/>
      <c r="AK9" s="491"/>
      <c r="AL9" s="491"/>
      <c r="AM9" s="491"/>
      <c r="AN9" s="491"/>
      <c r="AO9" s="491"/>
      <c r="AP9" s="491"/>
      <c r="AQ9" s="491"/>
      <c r="AR9" s="492"/>
    </row>
    <row r="10" spans="3:44" ht="18" customHeight="1">
      <c r="C10" s="444"/>
      <c r="D10" s="445"/>
      <c r="E10" s="445"/>
      <c r="F10" s="493"/>
      <c r="G10" s="493"/>
      <c r="H10" s="493"/>
      <c r="I10" s="493"/>
      <c r="J10" s="493"/>
      <c r="K10" s="493"/>
      <c r="L10" s="493"/>
      <c r="M10" s="493"/>
      <c r="N10" s="493"/>
      <c r="O10" s="493"/>
      <c r="P10" s="493"/>
      <c r="Q10" s="493"/>
      <c r="R10" s="493"/>
      <c r="S10" s="493"/>
      <c r="T10" s="493"/>
      <c r="U10" s="493"/>
      <c r="V10" s="491"/>
      <c r="W10" s="491"/>
      <c r="X10" s="491"/>
      <c r="Y10" s="491"/>
      <c r="Z10" s="491"/>
      <c r="AA10" s="491"/>
      <c r="AB10" s="491"/>
      <c r="AC10" s="494"/>
      <c r="AD10" s="494"/>
      <c r="AE10" s="494"/>
      <c r="AF10" s="494"/>
      <c r="AG10" s="491"/>
      <c r="AH10" s="491"/>
      <c r="AI10" s="491"/>
      <c r="AJ10" s="491"/>
      <c r="AK10" s="491"/>
      <c r="AL10" s="491"/>
      <c r="AM10" s="491"/>
      <c r="AN10" s="491"/>
      <c r="AO10" s="491"/>
      <c r="AP10" s="491"/>
      <c r="AQ10" s="491"/>
      <c r="AR10" s="492"/>
    </row>
    <row r="11" spans="3:44" ht="18" customHeight="1">
      <c r="C11" s="444"/>
      <c r="D11" s="445"/>
      <c r="E11" s="445"/>
      <c r="F11" s="463"/>
      <c r="G11" s="463"/>
      <c r="H11" s="463"/>
      <c r="I11" s="463"/>
      <c r="J11" s="463"/>
      <c r="K11" s="463"/>
      <c r="L11" s="463"/>
      <c r="M11" s="463"/>
      <c r="N11" s="463"/>
      <c r="O11" s="463"/>
      <c r="P11" s="463"/>
      <c r="Q11" s="463"/>
      <c r="R11" s="463"/>
      <c r="S11" s="463"/>
      <c r="T11" s="463"/>
      <c r="U11" s="463"/>
      <c r="V11" s="465"/>
      <c r="W11" s="465"/>
      <c r="X11" s="465"/>
      <c r="Y11" s="465"/>
      <c r="Z11" s="465"/>
      <c r="AA11" s="465"/>
      <c r="AB11" s="465"/>
      <c r="AC11" s="490"/>
      <c r="AD11" s="490"/>
      <c r="AE11" s="490"/>
      <c r="AF11" s="490"/>
      <c r="AG11" s="465"/>
      <c r="AH11" s="465"/>
      <c r="AI11" s="465"/>
      <c r="AJ11" s="465"/>
      <c r="AK11" s="465"/>
      <c r="AL11" s="465"/>
      <c r="AM11" s="465"/>
      <c r="AN11" s="465"/>
      <c r="AO11" s="465"/>
      <c r="AP11" s="465"/>
      <c r="AQ11" s="465"/>
      <c r="AR11" s="489"/>
    </row>
    <row r="12" spans="3:44" ht="18" customHeight="1">
      <c r="C12" s="444"/>
      <c r="D12" s="445"/>
      <c r="E12" s="445"/>
      <c r="F12" s="463"/>
      <c r="G12" s="463"/>
      <c r="H12" s="463"/>
      <c r="I12" s="463"/>
      <c r="J12" s="463"/>
      <c r="K12" s="463"/>
      <c r="L12" s="463"/>
      <c r="M12" s="463"/>
      <c r="N12" s="463"/>
      <c r="O12" s="463"/>
      <c r="P12" s="463"/>
      <c r="Q12" s="463"/>
      <c r="R12" s="463"/>
      <c r="S12" s="463"/>
      <c r="T12" s="463"/>
      <c r="U12" s="463"/>
      <c r="V12" s="465"/>
      <c r="W12" s="465"/>
      <c r="X12" s="465"/>
      <c r="Y12" s="465"/>
      <c r="Z12" s="465"/>
      <c r="AA12" s="465"/>
      <c r="AB12" s="465"/>
      <c r="AC12" s="490"/>
      <c r="AD12" s="490"/>
      <c r="AE12" s="490"/>
      <c r="AF12" s="490"/>
      <c r="AG12" s="465"/>
      <c r="AH12" s="465"/>
      <c r="AI12" s="465"/>
      <c r="AJ12" s="465"/>
      <c r="AK12" s="465"/>
      <c r="AL12" s="465"/>
      <c r="AM12" s="465"/>
      <c r="AN12" s="465"/>
      <c r="AO12" s="465"/>
      <c r="AP12" s="465"/>
      <c r="AQ12" s="465"/>
      <c r="AR12" s="489"/>
    </row>
    <row r="13" spans="3:44" ht="18" customHeight="1">
      <c r="C13" s="444"/>
      <c r="D13" s="445"/>
      <c r="E13" s="445"/>
      <c r="F13" s="463"/>
      <c r="G13" s="463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  <c r="V13" s="465"/>
      <c r="W13" s="465"/>
      <c r="X13" s="465"/>
      <c r="Y13" s="465"/>
      <c r="Z13" s="465"/>
      <c r="AA13" s="465"/>
      <c r="AB13" s="465"/>
      <c r="AC13" s="490"/>
      <c r="AD13" s="490"/>
      <c r="AE13" s="490"/>
      <c r="AF13" s="490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89"/>
    </row>
    <row r="14" spans="3:44" ht="18" customHeight="1">
      <c r="C14" s="444"/>
      <c r="D14" s="445"/>
      <c r="E14" s="445"/>
      <c r="F14" s="463"/>
      <c r="G14" s="463"/>
      <c r="H14" s="463"/>
      <c r="I14" s="463"/>
      <c r="J14" s="463"/>
      <c r="K14" s="463"/>
      <c r="L14" s="463"/>
      <c r="M14" s="463"/>
      <c r="N14" s="463"/>
      <c r="O14" s="463"/>
      <c r="P14" s="463"/>
      <c r="Q14" s="463"/>
      <c r="R14" s="463"/>
      <c r="S14" s="463"/>
      <c r="T14" s="463"/>
      <c r="U14" s="463"/>
      <c r="V14" s="465"/>
      <c r="W14" s="465"/>
      <c r="X14" s="465"/>
      <c r="Y14" s="465"/>
      <c r="Z14" s="465"/>
      <c r="AA14" s="465"/>
      <c r="AB14" s="465"/>
      <c r="AC14" s="490"/>
      <c r="AD14" s="490"/>
      <c r="AE14" s="490"/>
      <c r="AF14" s="490"/>
      <c r="AG14" s="465"/>
      <c r="AH14" s="465"/>
      <c r="AI14" s="465"/>
      <c r="AJ14" s="465"/>
      <c r="AK14" s="465"/>
      <c r="AL14" s="465"/>
      <c r="AM14" s="465"/>
      <c r="AN14" s="465"/>
      <c r="AO14" s="465"/>
      <c r="AP14" s="465"/>
      <c r="AQ14" s="465"/>
      <c r="AR14" s="489"/>
    </row>
    <row r="15" spans="3:44" ht="18" customHeight="1">
      <c r="C15" s="444"/>
      <c r="D15" s="445"/>
      <c r="E15" s="445"/>
      <c r="F15" s="463"/>
      <c r="G15" s="463"/>
      <c r="H15" s="463"/>
      <c r="I15" s="463"/>
      <c r="J15" s="463"/>
      <c r="K15" s="463"/>
      <c r="L15" s="463"/>
      <c r="M15" s="463"/>
      <c r="N15" s="463"/>
      <c r="O15" s="463"/>
      <c r="P15" s="463"/>
      <c r="Q15" s="463"/>
      <c r="R15" s="463"/>
      <c r="S15" s="463"/>
      <c r="T15" s="463"/>
      <c r="U15" s="463"/>
      <c r="V15" s="465"/>
      <c r="W15" s="465"/>
      <c r="X15" s="465"/>
      <c r="Y15" s="465"/>
      <c r="Z15" s="465"/>
      <c r="AA15" s="465"/>
      <c r="AB15" s="465"/>
      <c r="AC15" s="490"/>
      <c r="AD15" s="490"/>
      <c r="AE15" s="490"/>
      <c r="AF15" s="490"/>
      <c r="AG15" s="465"/>
      <c r="AH15" s="465"/>
      <c r="AI15" s="465"/>
      <c r="AJ15" s="465"/>
      <c r="AK15" s="465"/>
      <c r="AL15" s="465"/>
      <c r="AM15" s="465"/>
      <c r="AN15" s="465"/>
      <c r="AO15" s="465"/>
      <c r="AP15" s="465"/>
      <c r="AQ15" s="465"/>
      <c r="AR15" s="489"/>
    </row>
    <row r="16" spans="3:44" ht="18" customHeight="1">
      <c r="C16" s="444"/>
      <c r="D16" s="445"/>
      <c r="E16" s="445"/>
      <c r="F16" s="463"/>
      <c r="G16" s="463"/>
      <c r="H16" s="463"/>
      <c r="I16" s="463"/>
      <c r="J16" s="463"/>
      <c r="K16" s="463"/>
      <c r="L16" s="463"/>
      <c r="M16" s="463"/>
      <c r="N16" s="463"/>
      <c r="O16" s="463"/>
      <c r="P16" s="463"/>
      <c r="Q16" s="463"/>
      <c r="R16" s="463"/>
      <c r="S16" s="463"/>
      <c r="T16" s="463"/>
      <c r="U16" s="463"/>
      <c r="V16" s="465"/>
      <c r="W16" s="465"/>
      <c r="X16" s="465"/>
      <c r="Y16" s="465"/>
      <c r="Z16" s="465"/>
      <c r="AA16" s="465"/>
      <c r="AB16" s="465"/>
      <c r="AC16" s="490"/>
      <c r="AD16" s="490"/>
      <c r="AE16" s="490"/>
      <c r="AF16" s="490"/>
      <c r="AG16" s="465"/>
      <c r="AH16" s="465"/>
      <c r="AI16" s="465"/>
      <c r="AJ16" s="465"/>
      <c r="AK16" s="465"/>
      <c r="AL16" s="465"/>
      <c r="AM16" s="465"/>
      <c r="AN16" s="465"/>
      <c r="AO16" s="465"/>
      <c r="AP16" s="465"/>
      <c r="AQ16" s="465"/>
      <c r="AR16" s="489"/>
    </row>
    <row r="17" spans="3:44" ht="18" customHeight="1">
      <c r="C17" s="427"/>
      <c r="D17" s="428"/>
      <c r="E17" s="428"/>
      <c r="F17" s="428"/>
      <c r="G17" s="428"/>
      <c r="H17" s="428"/>
      <c r="I17" s="428"/>
      <c r="J17" s="428"/>
      <c r="K17" s="428"/>
      <c r="L17" s="428"/>
      <c r="M17" s="428"/>
      <c r="N17" s="428"/>
      <c r="O17" s="428"/>
      <c r="P17" s="428"/>
      <c r="Q17" s="428"/>
      <c r="R17" s="428"/>
      <c r="S17" s="428"/>
      <c r="T17" s="428"/>
      <c r="U17" s="428"/>
      <c r="V17" s="428"/>
      <c r="W17" s="428"/>
      <c r="X17" s="428"/>
      <c r="Y17" s="495" t="s">
        <v>74</v>
      </c>
      <c r="Z17" s="495"/>
      <c r="AA17" s="495"/>
      <c r="AB17" s="495"/>
      <c r="AC17" s="495"/>
      <c r="AD17" s="495"/>
      <c r="AE17" s="495"/>
      <c r="AF17" s="495"/>
      <c r="AG17" s="495"/>
      <c r="AH17" s="495"/>
      <c r="AI17" s="495"/>
      <c r="AJ17" s="495"/>
      <c r="AK17" s="495"/>
      <c r="AL17" s="495"/>
      <c r="AM17" s="495"/>
      <c r="AN17" s="495"/>
      <c r="AO17" s="432">
        <f>SUM(AO9:AR16)</f>
        <v>0</v>
      </c>
      <c r="AP17" s="432"/>
      <c r="AQ17" s="432"/>
      <c r="AR17" s="433"/>
    </row>
    <row r="19" spans="3:44" ht="18" customHeight="1">
      <c r="C19" s="461" t="s">
        <v>43</v>
      </c>
      <c r="D19" s="451"/>
      <c r="E19" s="451"/>
      <c r="F19" s="451" t="s">
        <v>75</v>
      </c>
      <c r="G19" s="451"/>
      <c r="H19" s="451"/>
      <c r="I19" s="451"/>
      <c r="J19" s="451"/>
      <c r="K19" s="451"/>
      <c r="L19" s="451"/>
      <c r="M19" s="451"/>
      <c r="N19" s="451"/>
      <c r="O19" s="451"/>
      <c r="P19" s="451"/>
      <c r="Q19" s="451"/>
      <c r="R19" s="451"/>
      <c r="S19" s="451"/>
      <c r="T19" s="451"/>
      <c r="U19" s="451"/>
      <c r="V19" s="451"/>
      <c r="W19" s="451"/>
      <c r="X19" s="451"/>
      <c r="Y19" s="451"/>
      <c r="Z19" s="451"/>
      <c r="AA19" s="451"/>
      <c r="AB19" s="451"/>
      <c r="AC19" s="451" t="s">
        <v>76</v>
      </c>
      <c r="AD19" s="451"/>
      <c r="AE19" s="451"/>
      <c r="AF19" s="451"/>
      <c r="AG19" s="451" t="s">
        <v>249</v>
      </c>
      <c r="AH19" s="451"/>
      <c r="AI19" s="451"/>
      <c r="AJ19" s="451"/>
      <c r="AK19" s="451" t="s">
        <v>77</v>
      </c>
      <c r="AL19" s="451"/>
      <c r="AM19" s="451"/>
      <c r="AN19" s="451"/>
      <c r="AO19" s="451" t="s">
        <v>71</v>
      </c>
      <c r="AP19" s="451"/>
      <c r="AQ19" s="451"/>
      <c r="AR19" s="453"/>
    </row>
    <row r="20" spans="3:44" ht="18" customHeight="1">
      <c r="C20" s="462"/>
      <c r="D20" s="452"/>
      <c r="E20" s="452"/>
      <c r="F20" s="452"/>
      <c r="G20" s="452"/>
      <c r="H20" s="452"/>
      <c r="I20" s="452"/>
      <c r="J20" s="452"/>
      <c r="K20" s="452"/>
      <c r="L20" s="452"/>
      <c r="M20" s="452"/>
      <c r="N20" s="452"/>
      <c r="O20" s="452"/>
      <c r="P20" s="452"/>
      <c r="Q20" s="452"/>
      <c r="R20" s="452"/>
      <c r="S20" s="452"/>
      <c r="T20" s="452"/>
      <c r="U20" s="452"/>
      <c r="V20" s="452"/>
      <c r="W20" s="452"/>
      <c r="X20" s="452"/>
      <c r="Y20" s="452"/>
      <c r="Z20" s="452"/>
      <c r="AA20" s="452"/>
      <c r="AB20" s="452"/>
      <c r="AC20" s="452"/>
      <c r="AD20" s="452"/>
      <c r="AE20" s="452"/>
      <c r="AF20" s="452"/>
      <c r="AG20" s="452"/>
      <c r="AH20" s="452"/>
      <c r="AI20" s="452"/>
      <c r="AJ20" s="452"/>
      <c r="AK20" s="452"/>
      <c r="AL20" s="452"/>
      <c r="AM20" s="452"/>
      <c r="AN20" s="452"/>
      <c r="AO20" s="452"/>
      <c r="AP20" s="452"/>
      <c r="AQ20" s="452"/>
      <c r="AR20" s="454"/>
    </row>
    <row r="21" spans="3:44" ht="18" customHeight="1">
      <c r="C21" s="455" t="s">
        <v>1375</v>
      </c>
      <c r="D21" s="456"/>
      <c r="E21" s="456"/>
      <c r="F21" s="493" t="s">
        <v>106</v>
      </c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49"/>
      <c r="AD21" s="449"/>
      <c r="AE21" s="449"/>
      <c r="AF21" s="449"/>
      <c r="AG21" s="449">
        <v>1</v>
      </c>
      <c r="AH21" s="449"/>
      <c r="AI21" s="449"/>
      <c r="AJ21" s="449"/>
      <c r="AK21" s="449">
        <f>VLOOKUP(C21,[4]MÃODEOBRA!A$1:D$65536,4,FALSE)</f>
        <v>7.90456</v>
      </c>
      <c r="AL21" s="449"/>
      <c r="AM21" s="449"/>
      <c r="AN21" s="449"/>
      <c r="AO21" s="491">
        <f>ROUND(AG21*AK21,2)</f>
        <v>7.9</v>
      </c>
      <c r="AP21" s="491"/>
      <c r="AQ21" s="491"/>
      <c r="AR21" s="492"/>
    </row>
    <row r="22" spans="3:44" ht="18" customHeight="1">
      <c r="C22" s="444"/>
      <c r="D22" s="445"/>
      <c r="E22" s="445"/>
      <c r="F22" s="463"/>
      <c r="G22" s="463"/>
      <c r="H22" s="463"/>
      <c r="I22" s="463"/>
      <c r="J22" s="463"/>
      <c r="K22" s="463"/>
      <c r="L22" s="463"/>
      <c r="M22" s="463"/>
      <c r="N22" s="463"/>
      <c r="O22" s="463"/>
      <c r="P22" s="463"/>
      <c r="Q22" s="463"/>
      <c r="R22" s="463"/>
      <c r="S22" s="463"/>
      <c r="T22" s="463"/>
      <c r="U22" s="463"/>
      <c r="V22" s="463"/>
      <c r="W22" s="463"/>
      <c r="X22" s="463"/>
      <c r="Y22" s="463"/>
      <c r="Z22" s="463"/>
      <c r="AA22" s="463"/>
      <c r="AB22" s="463"/>
      <c r="AC22" s="425"/>
      <c r="AD22" s="425"/>
      <c r="AE22" s="425"/>
      <c r="AF22" s="425"/>
      <c r="AG22" s="425"/>
      <c r="AH22" s="425"/>
      <c r="AI22" s="425"/>
      <c r="AJ22" s="425"/>
      <c r="AK22" s="425"/>
      <c r="AL22" s="425"/>
      <c r="AM22" s="425"/>
      <c r="AN22" s="425"/>
      <c r="AO22" s="465"/>
      <c r="AP22" s="465"/>
      <c r="AQ22" s="465"/>
      <c r="AR22" s="489"/>
    </row>
    <row r="23" spans="3:44" ht="18" customHeight="1">
      <c r="C23" s="444"/>
      <c r="D23" s="445"/>
      <c r="E23" s="445"/>
      <c r="F23" s="463"/>
      <c r="G23" s="463"/>
      <c r="H23" s="463"/>
      <c r="I23" s="463"/>
      <c r="J23" s="463"/>
      <c r="K23" s="463"/>
      <c r="L23" s="463"/>
      <c r="M23" s="463"/>
      <c r="N23" s="463"/>
      <c r="O23" s="463"/>
      <c r="P23" s="463"/>
      <c r="Q23" s="463"/>
      <c r="R23" s="463"/>
      <c r="S23" s="463"/>
      <c r="T23" s="463"/>
      <c r="U23" s="463"/>
      <c r="V23" s="463"/>
      <c r="W23" s="463"/>
      <c r="X23" s="463"/>
      <c r="Y23" s="463"/>
      <c r="Z23" s="463"/>
      <c r="AA23" s="463"/>
      <c r="AB23" s="463"/>
      <c r="AC23" s="425"/>
      <c r="AD23" s="425"/>
      <c r="AE23" s="425"/>
      <c r="AF23" s="425"/>
      <c r="AG23" s="425"/>
      <c r="AH23" s="425"/>
      <c r="AI23" s="425"/>
      <c r="AJ23" s="425"/>
      <c r="AK23" s="425"/>
      <c r="AL23" s="425"/>
      <c r="AM23" s="425"/>
      <c r="AN23" s="425"/>
      <c r="AO23" s="465"/>
      <c r="AP23" s="465"/>
      <c r="AQ23" s="465"/>
      <c r="AR23" s="489"/>
    </row>
    <row r="24" spans="3:44" ht="18" customHeight="1">
      <c r="C24" s="444"/>
      <c r="D24" s="445"/>
      <c r="E24" s="445"/>
      <c r="F24" s="463"/>
      <c r="G24" s="463"/>
      <c r="H24" s="463"/>
      <c r="I24" s="463"/>
      <c r="J24" s="463"/>
      <c r="K24" s="463"/>
      <c r="L24" s="463"/>
      <c r="M24" s="463"/>
      <c r="N24" s="463"/>
      <c r="O24" s="463"/>
      <c r="P24" s="463"/>
      <c r="Q24" s="463"/>
      <c r="R24" s="463"/>
      <c r="S24" s="463"/>
      <c r="T24" s="463"/>
      <c r="U24" s="463"/>
      <c r="V24" s="463"/>
      <c r="W24" s="463"/>
      <c r="X24" s="463"/>
      <c r="Y24" s="463"/>
      <c r="Z24" s="463"/>
      <c r="AA24" s="463"/>
      <c r="AB24" s="463"/>
      <c r="AC24" s="425"/>
      <c r="AD24" s="425"/>
      <c r="AE24" s="425"/>
      <c r="AF24" s="425"/>
      <c r="AG24" s="425"/>
      <c r="AH24" s="425"/>
      <c r="AI24" s="425"/>
      <c r="AJ24" s="425"/>
      <c r="AK24" s="425"/>
      <c r="AL24" s="425"/>
      <c r="AM24" s="425"/>
      <c r="AN24" s="425"/>
      <c r="AO24" s="465"/>
      <c r="AP24" s="465"/>
      <c r="AQ24" s="465"/>
      <c r="AR24" s="489"/>
    </row>
    <row r="25" spans="3:44" ht="18" customHeight="1">
      <c r="C25" s="444"/>
      <c r="D25" s="445"/>
      <c r="E25" s="445"/>
      <c r="F25" s="463"/>
      <c r="G25" s="463"/>
      <c r="H25" s="463"/>
      <c r="I25" s="463"/>
      <c r="J25" s="463"/>
      <c r="K25" s="463"/>
      <c r="L25" s="463"/>
      <c r="M25" s="463"/>
      <c r="N25" s="463"/>
      <c r="O25" s="463"/>
      <c r="P25" s="463"/>
      <c r="Q25" s="463"/>
      <c r="R25" s="463"/>
      <c r="S25" s="463"/>
      <c r="T25" s="463"/>
      <c r="U25" s="463"/>
      <c r="V25" s="463"/>
      <c r="W25" s="463"/>
      <c r="X25" s="463"/>
      <c r="Y25" s="463"/>
      <c r="Z25" s="463"/>
      <c r="AA25" s="463"/>
      <c r="AB25" s="463"/>
      <c r="AC25" s="425"/>
      <c r="AD25" s="425"/>
      <c r="AE25" s="425"/>
      <c r="AF25" s="425"/>
      <c r="AG25" s="425"/>
      <c r="AH25" s="425"/>
      <c r="AI25" s="425"/>
      <c r="AJ25" s="425"/>
      <c r="AK25" s="425"/>
      <c r="AL25" s="425"/>
      <c r="AM25" s="425"/>
      <c r="AN25" s="425"/>
      <c r="AO25" s="465"/>
      <c r="AP25" s="465"/>
      <c r="AQ25" s="465"/>
      <c r="AR25" s="489"/>
    </row>
    <row r="26" spans="3:44" ht="18" customHeight="1">
      <c r="C26" s="444"/>
      <c r="D26" s="445"/>
      <c r="E26" s="445"/>
      <c r="F26" s="463"/>
      <c r="G26" s="463"/>
      <c r="H26" s="463"/>
      <c r="I26" s="463"/>
      <c r="J26" s="463"/>
      <c r="K26" s="463"/>
      <c r="L26" s="463"/>
      <c r="M26" s="463"/>
      <c r="N26" s="463"/>
      <c r="O26" s="463"/>
      <c r="P26" s="463"/>
      <c r="Q26" s="463"/>
      <c r="R26" s="463"/>
      <c r="S26" s="463"/>
      <c r="T26" s="463"/>
      <c r="U26" s="463"/>
      <c r="V26" s="463"/>
      <c r="W26" s="463"/>
      <c r="X26" s="463"/>
      <c r="Y26" s="463"/>
      <c r="Z26" s="463"/>
      <c r="AA26" s="463"/>
      <c r="AB26" s="463"/>
      <c r="AC26" s="425"/>
      <c r="AD26" s="425"/>
      <c r="AE26" s="425"/>
      <c r="AF26" s="425"/>
      <c r="AG26" s="425"/>
      <c r="AH26" s="425"/>
      <c r="AI26" s="425"/>
      <c r="AJ26" s="425"/>
      <c r="AK26" s="425"/>
      <c r="AL26" s="425"/>
      <c r="AM26" s="425"/>
      <c r="AN26" s="425"/>
      <c r="AO26" s="465"/>
      <c r="AP26" s="465"/>
      <c r="AQ26" s="465"/>
      <c r="AR26" s="489"/>
    </row>
    <row r="27" spans="3:44" ht="18" customHeight="1">
      <c r="C27" s="444"/>
      <c r="D27" s="445"/>
      <c r="E27" s="445"/>
      <c r="F27" s="463"/>
      <c r="G27" s="463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  <c r="V27" s="463"/>
      <c r="W27" s="463"/>
      <c r="X27" s="463"/>
      <c r="Y27" s="463"/>
      <c r="Z27" s="463"/>
      <c r="AA27" s="463"/>
      <c r="AB27" s="463"/>
      <c r="AC27" s="425"/>
      <c r="AD27" s="425"/>
      <c r="AE27" s="425"/>
      <c r="AF27" s="425"/>
      <c r="AG27" s="425"/>
      <c r="AH27" s="425"/>
      <c r="AI27" s="425"/>
      <c r="AJ27" s="425"/>
      <c r="AK27" s="425"/>
      <c r="AL27" s="425"/>
      <c r="AM27" s="425"/>
      <c r="AN27" s="425"/>
      <c r="AO27" s="465"/>
      <c r="AP27" s="465"/>
      <c r="AQ27" s="465"/>
      <c r="AR27" s="489"/>
    </row>
    <row r="28" spans="3:44" ht="18" customHeight="1">
      <c r="C28" s="444"/>
      <c r="D28" s="445"/>
      <c r="E28" s="445"/>
      <c r="F28" s="463"/>
      <c r="G28" s="463"/>
      <c r="H28" s="463"/>
      <c r="I28" s="463"/>
      <c r="J28" s="463"/>
      <c r="K28" s="463"/>
      <c r="L28" s="463"/>
      <c r="M28" s="463"/>
      <c r="N28" s="463"/>
      <c r="O28" s="463"/>
      <c r="P28" s="463"/>
      <c r="Q28" s="463"/>
      <c r="R28" s="463"/>
      <c r="S28" s="463"/>
      <c r="T28" s="463"/>
      <c r="U28" s="463"/>
      <c r="V28" s="463"/>
      <c r="W28" s="463"/>
      <c r="X28" s="463"/>
      <c r="Y28" s="463"/>
      <c r="Z28" s="463"/>
      <c r="AA28" s="463"/>
      <c r="AB28" s="463"/>
      <c r="AC28" s="425"/>
      <c r="AD28" s="425"/>
      <c r="AE28" s="425"/>
      <c r="AF28" s="425"/>
      <c r="AG28" s="425"/>
      <c r="AH28" s="425"/>
      <c r="AI28" s="425"/>
      <c r="AJ28" s="425"/>
      <c r="AK28" s="425"/>
      <c r="AL28" s="425"/>
      <c r="AM28" s="425"/>
      <c r="AN28" s="425"/>
      <c r="AO28" s="465"/>
      <c r="AP28" s="465"/>
      <c r="AQ28" s="465"/>
      <c r="AR28" s="489"/>
    </row>
    <row r="29" spans="3:44" ht="18" customHeight="1">
      <c r="C29" s="480"/>
      <c r="D29" s="481"/>
      <c r="E29" s="481"/>
      <c r="F29" s="481"/>
      <c r="G29" s="481"/>
      <c r="H29" s="481"/>
      <c r="I29" s="481"/>
      <c r="J29" s="481"/>
      <c r="K29" s="481"/>
      <c r="L29" s="481"/>
      <c r="M29" s="481"/>
      <c r="N29" s="481"/>
      <c r="O29" s="481"/>
      <c r="P29" s="481"/>
      <c r="Q29" s="481"/>
      <c r="R29" s="481"/>
      <c r="S29" s="481"/>
      <c r="T29" s="481"/>
      <c r="U29" s="481"/>
      <c r="V29" s="481"/>
      <c r="W29" s="481"/>
      <c r="X29" s="482"/>
      <c r="Y29" s="483" t="s">
        <v>78</v>
      </c>
      <c r="Z29" s="484"/>
      <c r="AA29" s="484"/>
      <c r="AB29" s="484"/>
      <c r="AC29" s="484"/>
      <c r="AD29" s="484"/>
      <c r="AE29" s="484"/>
      <c r="AF29" s="484"/>
      <c r="AG29" s="530">
        <v>0.2051</v>
      </c>
      <c r="AH29" s="530"/>
      <c r="AI29" s="530"/>
      <c r="AJ29" s="530"/>
      <c r="AK29" s="465">
        <f>SUM(AO21:AR28)</f>
        <v>7.9</v>
      </c>
      <c r="AL29" s="486"/>
      <c r="AM29" s="486"/>
      <c r="AN29" s="486"/>
      <c r="AO29" s="487">
        <f>ROUND(AG29*AK29,2)</f>
        <v>1.62</v>
      </c>
      <c r="AP29" s="487"/>
      <c r="AQ29" s="487"/>
      <c r="AR29" s="488"/>
    </row>
    <row r="30" spans="3:44" ht="18" customHeight="1">
      <c r="C30" s="427"/>
      <c r="D30" s="428"/>
      <c r="E30" s="428"/>
      <c r="F30" s="428"/>
      <c r="G30" s="428"/>
      <c r="H30" s="428"/>
      <c r="I30" s="428"/>
      <c r="J30" s="428"/>
      <c r="K30" s="428"/>
      <c r="L30" s="428"/>
      <c r="M30" s="428"/>
      <c r="N30" s="428"/>
      <c r="O30" s="428"/>
      <c r="P30" s="428"/>
      <c r="Q30" s="428"/>
      <c r="R30" s="428"/>
      <c r="S30" s="428"/>
      <c r="T30" s="428"/>
      <c r="U30" s="428"/>
      <c r="V30" s="428"/>
      <c r="W30" s="428"/>
      <c r="X30" s="429"/>
      <c r="Y30" s="430" t="s">
        <v>79</v>
      </c>
      <c r="Z30" s="431"/>
      <c r="AA30" s="431"/>
      <c r="AB30" s="431"/>
      <c r="AC30" s="431"/>
      <c r="AD30" s="431"/>
      <c r="AE30" s="431"/>
      <c r="AF30" s="431"/>
      <c r="AG30" s="431"/>
      <c r="AH30" s="431"/>
      <c r="AI30" s="431"/>
      <c r="AJ30" s="431"/>
      <c r="AK30" s="431"/>
      <c r="AL30" s="431"/>
      <c r="AM30" s="431"/>
      <c r="AN30" s="431"/>
      <c r="AO30" s="432">
        <f>SUM(AO21:AR29)</f>
        <v>9.52</v>
      </c>
      <c r="AP30" s="432"/>
      <c r="AQ30" s="432"/>
      <c r="AR30" s="433"/>
    </row>
    <row r="32" spans="3:44" ht="18" customHeight="1">
      <c r="C32" s="469"/>
      <c r="D32" s="470"/>
      <c r="E32" s="470"/>
      <c r="F32" s="470"/>
      <c r="G32" s="470"/>
      <c r="H32" s="470"/>
      <c r="I32" s="470"/>
      <c r="J32" s="470"/>
      <c r="K32" s="470"/>
      <c r="L32" s="470"/>
      <c r="M32" s="470"/>
      <c r="N32" s="470"/>
      <c r="O32" s="470"/>
      <c r="P32" s="470"/>
      <c r="Q32" s="470"/>
      <c r="R32" s="470"/>
      <c r="S32" s="470"/>
      <c r="T32" s="470"/>
      <c r="U32" s="470"/>
      <c r="V32" s="470"/>
      <c r="W32" s="470"/>
      <c r="X32" s="471"/>
      <c r="Y32" s="472" t="s">
        <v>80</v>
      </c>
      <c r="Z32" s="472"/>
      <c r="AA32" s="472"/>
      <c r="AB32" s="472"/>
      <c r="AC32" s="472"/>
      <c r="AD32" s="472"/>
      <c r="AE32" s="472"/>
      <c r="AF32" s="472"/>
      <c r="AG32" s="472"/>
      <c r="AH32" s="472"/>
      <c r="AI32" s="472"/>
      <c r="AJ32" s="472"/>
      <c r="AK32" s="472"/>
      <c r="AL32" s="472"/>
      <c r="AM32" s="472"/>
      <c r="AN32" s="472"/>
      <c r="AO32" s="473">
        <f>AO17+AO30</f>
        <v>9.52</v>
      </c>
      <c r="AP32" s="474"/>
      <c r="AQ32" s="474"/>
      <c r="AR32" s="475"/>
    </row>
    <row r="33" spans="3:44" ht="18" customHeight="1">
      <c r="C33" s="476" t="s">
        <v>81</v>
      </c>
      <c r="D33" s="431"/>
      <c r="E33" s="431"/>
      <c r="F33" s="431"/>
      <c r="G33" s="431"/>
      <c r="H33" s="431"/>
      <c r="I33" s="431"/>
      <c r="J33" s="431"/>
      <c r="K33" s="431"/>
      <c r="L33" s="431"/>
      <c r="M33" s="431"/>
      <c r="N33" s="431"/>
      <c r="O33" s="431"/>
      <c r="P33" s="431"/>
      <c r="Q33" s="432">
        <v>1</v>
      </c>
      <c r="R33" s="432"/>
      <c r="S33" s="432"/>
      <c r="T33" s="432"/>
      <c r="U33" s="477"/>
      <c r="V33" s="430" t="s">
        <v>104</v>
      </c>
      <c r="W33" s="431"/>
      <c r="X33" s="431"/>
      <c r="Y33" s="472" t="s">
        <v>82</v>
      </c>
      <c r="Z33" s="472"/>
      <c r="AA33" s="472"/>
      <c r="AB33" s="472"/>
      <c r="AC33" s="472"/>
      <c r="AD33" s="472"/>
      <c r="AE33" s="472"/>
      <c r="AF33" s="472"/>
      <c r="AG33" s="472"/>
      <c r="AH33" s="472"/>
      <c r="AI33" s="472"/>
      <c r="AJ33" s="472"/>
      <c r="AK33" s="472"/>
      <c r="AL33" s="472"/>
      <c r="AM33" s="472"/>
      <c r="AN33" s="472"/>
      <c r="AO33" s="478">
        <f>ROUND(AO32/Q33,2)</f>
        <v>9.52</v>
      </c>
      <c r="AP33" s="478"/>
      <c r="AQ33" s="478"/>
      <c r="AR33" s="479"/>
    </row>
    <row r="35" spans="3:44" ht="18" customHeight="1">
      <c r="C35" s="461" t="s">
        <v>43</v>
      </c>
      <c r="D35" s="451"/>
      <c r="E35" s="451"/>
      <c r="F35" s="451" t="s">
        <v>83</v>
      </c>
      <c r="G35" s="451"/>
      <c r="H35" s="451"/>
      <c r="I35" s="451"/>
      <c r="J35" s="451"/>
      <c r="K35" s="451"/>
      <c r="L35" s="451"/>
      <c r="M35" s="451"/>
      <c r="N35" s="451"/>
      <c r="O35" s="451"/>
      <c r="P35" s="451"/>
      <c r="Q35" s="451"/>
      <c r="R35" s="451"/>
      <c r="S35" s="451"/>
      <c r="T35" s="451"/>
      <c r="U35" s="451"/>
      <c r="V35" s="451"/>
      <c r="W35" s="451"/>
      <c r="X35" s="451"/>
      <c r="Y35" s="451"/>
      <c r="Z35" s="451"/>
      <c r="AA35" s="451"/>
      <c r="AB35" s="451"/>
      <c r="AC35" s="451" t="s">
        <v>84</v>
      </c>
      <c r="AD35" s="451"/>
      <c r="AE35" s="451"/>
      <c r="AF35" s="451"/>
      <c r="AG35" s="451" t="s">
        <v>85</v>
      </c>
      <c r="AH35" s="451"/>
      <c r="AI35" s="451"/>
      <c r="AJ35" s="451"/>
      <c r="AK35" s="451" t="s">
        <v>86</v>
      </c>
      <c r="AL35" s="451"/>
      <c r="AM35" s="451"/>
      <c r="AN35" s="451"/>
      <c r="AO35" s="451" t="s">
        <v>87</v>
      </c>
      <c r="AP35" s="451"/>
      <c r="AQ35" s="451"/>
      <c r="AR35" s="453"/>
    </row>
    <row r="36" spans="3:44" ht="18" customHeight="1">
      <c r="C36" s="462"/>
      <c r="D36" s="452"/>
      <c r="E36" s="452"/>
      <c r="F36" s="452"/>
      <c r="G36" s="452"/>
      <c r="H36" s="452"/>
      <c r="I36" s="452"/>
      <c r="J36" s="452"/>
      <c r="K36" s="452"/>
      <c r="L36" s="452"/>
      <c r="M36" s="452"/>
      <c r="N36" s="452"/>
      <c r="O36" s="452"/>
      <c r="P36" s="452"/>
      <c r="Q36" s="452"/>
      <c r="R36" s="452"/>
      <c r="S36" s="452"/>
      <c r="T36" s="452"/>
      <c r="U36" s="452"/>
      <c r="V36" s="452"/>
      <c r="W36" s="452"/>
      <c r="X36" s="452"/>
      <c r="Y36" s="452"/>
      <c r="Z36" s="452"/>
      <c r="AA36" s="452"/>
      <c r="AB36" s="452"/>
      <c r="AC36" s="452"/>
      <c r="AD36" s="452"/>
      <c r="AE36" s="452"/>
      <c r="AF36" s="452"/>
      <c r="AG36" s="452"/>
      <c r="AH36" s="452"/>
      <c r="AI36" s="452"/>
      <c r="AJ36" s="452"/>
      <c r="AK36" s="452"/>
      <c r="AL36" s="452"/>
      <c r="AM36" s="452"/>
      <c r="AN36" s="452"/>
      <c r="AO36" s="452"/>
      <c r="AP36" s="452"/>
      <c r="AQ36" s="452"/>
      <c r="AR36" s="454"/>
    </row>
    <row r="37" spans="3:44" ht="18" customHeight="1">
      <c r="C37" s="455" t="s">
        <v>1400</v>
      </c>
      <c r="D37" s="456"/>
      <c r="E37" s="456"/>
      <c r="F37" s="493" t="s">
        <v>110</v>
      </c>
      <c r="G37" s="493"/>
      <c r="H37" s="493"/>
      <c r="I37" s="493"/>
      <c r="J37" s="493"/>
      <c r="K37" s="493"/>
      <c r="L37" s="493"/>
      <c r="M37" s="493"/>
      <c r="N37" s="493"/>
      <c r="O37" s="493"/>
      <c r="P37" s="493"/>
      <c r="Q37" s="493"/>
      <c r="R37" s="493"/>
      <c r="S37" s="493"/>
      <c r="T37" s="493"/>
      <c r="U37" s="493"/>
      <c r="V37" s="493"/>
      <c r="W37" s="493"/>
      <c r="X37" s="493"/>
      <c r="Y37" s="493"/>
      <c r="Z37" s="493"/>
      <c r="AA37" s="493"/>
      <c r="AB37" s="493"/>
      <c r="AC37" s="531" t="s">
        <v>189</v>
      </c>
      <c r="AD37" s="531"/>
      <c r="AE37" s="531"/>
      <c r="AF37" s="531"/>
      <c r="AG37" s="466">
        <f>VLOOKUP(C37,[4]MATERIAL!A$1:D$65536,4,FALSE)</f>
        <v>5.92</v>
      </c>
      <c r="AH37" s="467"/>
      <c r="AI37" s="467"/>
      <c r="AJ37" s="468"/>
      <c r="AK37" s="460">
        <v>0.4</v>
      </c>
      <c r="AL37" s="460"/>
      <c r="AM37" s="460"/>
      <c r="AN37" s="460"/>
      <c r="AO37" s="449">
        <f>ROUND(AG37*AK37,2)</f>
        <v>2.37</v>
      </c>
      <c r="AP37" s="449"/>
      <c r="AQ37" s="449"/>
      <c r="AR37" s="450"/>
    </row>
    <row r="38" spans="3:44" ht="18" customHeight="1">
      <c r="C38" s="444"/>
      <c r="D38" s="445"/>
      <c r="E38" s="445"/>
      <c r="F38" s="493"/>
      <c r="G38" s="493"/>
      <c r="H38" s="493"/>
      <c r="I38" s="493"/>
      <c r="J38" s="493"/>
      <c r="K38" s="493"/>
      <c r="L38" s="493"/>
      <c r="M38" s="493"/>
      <c r="N38" s="493"/>
      <c r="O38" s="493"/>
      <c r="P38" s="493"/>
      <c r="Q38" s="493"/>
      <c r="R38" s="493"/>
      <c r="S38" s="493"/>
      <c r="T38" s="493"/>
      <c r="U38" s="493"/>
      <c r="V38" s="493"/>
      <c r="W38" s="493"/>
      <c r="X38" s="493"/>
      <c r="Y38" s="493"/>
      <c r="Z38" s="493"/>
      <c r="AA38" s="493"/>
      <c r="AB38" s="493"/>
      <c r="AC38" s="531"/>
      <c r="AD38" s="531"/>
      <c r="AE38" s="531"/>
      <c r="AF38" s="531"/>
      <c r="AG38" s="491"/>
      <c r="AH38" s="491"/>
      <c r="AI38" s="491"/>
      <c r="AJ38" s="491"/>
      <c r="AK38" s="460"/>
      <c r="AL38" s="460"/>
      <c r="AM38" s="460"/>
      <c r="AN38" s="460"/>
      <c r="AO38" s="449"/>
      <c r="AP38" s="449"/>
      <c r="AQ38" s="449"/>
      <c r="AR38" s="450"/>
    </row>
    <row r="39" spans="3:44" ht="18" customHeight="1">
      <c r="C39" s="444"/>
      <c r="D39" s="445"/>
      <c r="E39" s="445"/>
      <c r="F39" s="493"/>
      <c r="G39" s="493"/>
      <c r="H39" s="493"/>
      <c r="I39" s="493"/>
      <c r="J39" s="493"/>
      <c r="K39" s="493"/>
      <c r="L39" s="493"/>
      <c r="M39" s="493"/>
      <c r="N39" s="493"/>
      <c r="O39" s="493"/>
      <c r="P39" s="493"/>
      <c r="Q39" s="493"/>
      <c r="R39" s="493"/>
      <c r="S39" s="493"/>
      <c r="T39" s="493"/>
      <c r="U39" s="493"/>
      <c r="V39" s="493"/>
      <c r="W39" s="493"/>
      <c r="X39" s="493"/>
      <c r="Y39" s="493"/>
      <c r="Z39" s="493"/>
      <c r="AA39" s="493"/>
      <c r="AB39" s="493"/>
      <c r="AC39" s="531"/>
      <c r="AD39" s="531"/>
      <c r="AE39" s="531"/>
      <c r="AF39" s="531"/>
      <c r="AG39" s="491"/>
      <c r="AH39" s="491"/>
      <c r="AI39" s="491"/>
      <c r="AJ39" s="491"/>
      <c r="AK39" s="460"/>
      <c r="AL39" s="460"/>
      <c r="AM39" s="460"/>
      <c r="AN39" s="460"/>
      <c r="AO39" s="449"/>
      <c r="AP39" s="449"/>
      <c r="AQ39" s="449"/>
      <c r="AR39" s="450"/>
    </row>
    <row r="40" spans="3:44" ht="18" customHeight="1">
      <c r="C40" s="444"/>
      <c r="D40" s="445"/>
      <c r="E40" s="445"/>
      <c r="F40" s="463"/>
      <c r="G40" s="463"/>
      <c r="H40" s="463"/>
      <c r="I40" s="463"/>
      <c r="J40" s="463"/>
      <c r="K40" s="463"/>
      <c r="L40" s="463"/>
      <c r="M40" s="463"/>
      <c r="N40" s="463"/>
      <c r="O40" s="463"/>
      <c r="P40" s="463"/>
      <c r="Q40" s="463"/>
      <c r="R40" s="463"/>
      <c r="S40" s="463"/>
      <c r="T40" s="463"/>
      <c r="U40" s="463"/>
      <c r="V40" s="463"/>
      <c r="W40" s="463"/>
      <c r="X40" s="463"/>
      <c r="Y40" s="463"/>
      <c r="Z40" s="463"/>
      <c r="AA40" s="463"/>
      <c r="AB40" s="463"/>
      <c r="AC40" s="464"/>
      <c r="AD40" s="464"/>
      <c r="AE40" s="464"/>
      <c r="AF40" s="464"/>
      <c r="AG40" s="465"/>
      <c r="AH40" s="465"/>
      <c r="AI40" s="465"/>
      <c r="AJ40" s="465"/>
      <c r="AK40" s="424"/>
      <c r="AL40" s="424"/>
      <c r="AM40" s="424"/>
      <c r="AN40" s="424"/>
      <c r="AO40" s="425"/>
      <c r="AP40" s="425"/>
      <c r="AQ40" s="425"/>
      <c r="AR40" s="426"/>
    </row>
    <row r="41" spans="3:44" ht="18" customHeight="1">
      <c r="C41" s="444"/>
      <c r="D41" s="445"/>
      <c r="E41" s="445"/>
      <c r="F41" s="463"/>
      <c r="G41" s="463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  <c r="V41" s="463"/>
      <c r="W41" s="463"/>
      <c r="X41" s="463"/>
      <c r="Y41" s="463"/>
      <c r="Z41" s="463"/>
      <c r="AA41" s="463"/>
      <c r="AB41" s="463"/>
      <c r="AC41" s="464"/>
      <c r="AD41" s="464"/>
      <c r="AE41" s="464"/>
      <c r="AF41" s="464"/>
      <c r="AG41" s="465"/>
      <c r="AH41" s="465"/>
      <c r="AI41" s="465"/>
      <c r="AJ41" s="465"/>
      <c r="AK41" s="424"/>
      <c r="AL41" s="424"/>
      <c r="AM41" s="424"/>
      <c r="AN41" s="424"/>
      <c r="AO41" s="425"/>
      <c r="AP41" s="425"/>
      <c r="AQ41" s="425"/>
      <c r="AR41" s="426"/>
    </row>
    <row r="42" spans="3:44" ht="18" customHeight="1">
      <c r="C42" s="444"/>
      <c r="D42" s="445"/>
      <c r="E42" s="445"/>
      <c r="F42" s="463"/>
      <c r="G42" s="463"/>
      <c r="H42" s="463"/>
      <c r="I42" s="463"/>
      <c r="J42" s="463"/>
      <c r="K42" s="463"/>
      <c r="L42" s="463"/>
      <c r="M42" s="463"/>
      <c r="N42" s="463"/>
      <c r="O42" s="463"/>
      <c r="P42" s="463"/>
      <c r="Q42" s="463"/>
      <c r="R42" s="463"/>
      <c r="S42" s="463"/>
      <c r="T42" s="463"/>
      <c r="U42" s="463"/>
      <c r="V42" s="463"/>
      <c r="W42" s="463"/>
      <c r="X42" s="463"/>
      <c r="Y42" s="463"/>
      <c r="Z42" s="463"/>
      <c r="AA42" s="463"/>
      <c r="AB42" s="463"/>
      <c r="AC42" s="464"/>
      <c r="AD42" s="464"/>
      <c r="AE42" s="464"/>
      <c r="AF42" s="464"/>
      <c r="AG42" s="465"/>
      <c r="AH42" s="465"/>
      <c r="AI42" s="465"/>
      <c r="AJ42" s="465"/>
      <c r="AK42" s="424"/>
      <c r="AL42" s="424"/>
      <c r="AM42" s="424"/>
      <c r="AN42" s="424"/>
      <c r="AO42" s="425"/>
      <c r="AP42" s="425"/>
      <c r="AQ42" s="425"/>
      <c r="AR42" s="426"/>
    </row>
    <row r="43" spans="3:44" ht="18" customHeight="1">
      <c r="C43" s="444"/>
      <c r="D43" s="445"/>
      <c r="E43" s="445"/>
      <c r="F43" s="463"/>
      <c r="G43" s="463"/>
      <c r="H43" s="463"/>
      <c r="I43" s="463"/>
      <c r="J43" s="463"/>
      <c r="K43" s="463"/>
      <c r="L43" s="463"/>
      <c r="M43" s="463"/>
      <c r="N43" s="463"/>
      <c r="O43" s="463"/>
      <c r="P43" s="463"/>
      <c r="Q43" s="463"/>
      <c r="R43" s="463"/>
      <c r="S43" s="463"/>
      <c r="T43" s="463"/>
      <c r="U43" s="463"/>
      <c r="V43" s="463"/>
      <c r="W43" s="463"/>
      <c r="X43" s="463"/>
      <c r="Y43" s="463"/>
      <c r="Z43" s="463"/>
      <c r="AA43" s="463"/>
      <c r="AB43" s="463"/>
      <c r="AC43" s="464"/>
      <c r="AD43" s="464"/>
      <c r="AE43" s="464"/>
      <c r="AF43" s="464"/>
      <c r="AG43" s="465"/>
      <c r="AH43" s="465"/>
      <c r="AI43" s="465"/>
      <c r="AJ43" s="465"/>
      <c r="AK43" s="424"/>
      <c r="AL43" s="424"/>
      <c r="AM43" s="424"/>
      <c r="AN43" s="424"/>
      <c r="AO43" s="425"/>
      <c r="AP43" s="425"/>
      <c r="AQ43" s="425"/>
      <c r="AR43" s="426"/>
    </row>
    <row r="44" spans="3:44" ht="18" customHeight="1">
      <c r="C44" s="444"/>
      <c r="D44" s="445"/>
      <c r="E44" s="445"/>
      <c r="F44" s="463"/>
      <c r="G44" s="463"/>
      <c r="H44" s="463"/>
      <c r="I44" s="463"/>
      <c r="J44" s="463"/>
      <c r="K44" s="463"/>
      <c r="L44" s="463"/>
      <c r="M44" s="463"/>
      <c r="N44" s="463"/>
      <c r="O44" s="463"/>
      <c r="P44" s="463"/>
      <c r="Q44" s="463"/>
      <c r="R44" s="463"/>
      <c r="S44" s="463"/>
      <c r="T44" s="463"/>
      <c r="U44" s="463"/>
      <c r="V44" s="463"/>
      <c r="W44" s="463"/>
      <c r="X44" s="463"/>
      <c r="Y44" s="463"/>
      <c r="Z44" s="463"/>
      <c r="AA44" s="463"/>
      <c r="AB44" s="463"/>
      <c r="AC44" s="464"/>
      <c r="AD44" s="464"/>
      <c r="AE44" s="464"/>
      <c r="AF44" s="464"/>
      <c r="AG44" s="465"/>
      <c r="AH44" s="465"/>
      <c r="AI44" s="465"/>
      <c r="AJ44" s="465"/>
      <c r="AK44" s="424"/>
      <c r="AL44" s="424"/>
      <c r="AM44" s="424"/>
      <c r="AN44" s="424"/>
      <c r="AO44" s="425"/>
      <c r="AP44" s="425"/>
      <c r="AQ44" s="425"/>
      <c r="AR44" s="426"/>
    </row>
    <row r="45" spans="3:44" ht="18" customHeight="1">
      <c r="C45" s="427"/>
      <c r="D45" s="428"/>
      <c r="E45" s="428"/>
      <c r="F45" s="428"/>
      <c r="G45" s="428"/>
      <c r="H45" s="428"/>
      <c r="I45" s="428"/>
      <c r="J45" s="428"/>
      <c r="K45" s="428"/>
      <c r="L45" s="428"/>
      <c r="M45" s="428"/>
      <c r="N45" s="428"/>
      <c r="O45" s="428"/>
      <c r="P45" s="428"/>
      <c r="Q45" s="428"/>
      <c r="R45" s="428"/>
      <c r="S45" s="428"/>
      <c r="T45" s="428"/>
      <c r="U45" s="428"/>
      <c r="V45" s="428"/>
      <c r="W45" s="428"/>
      <c r="X45" s="429"/>
      <c r="Y45" s="430" t="s">
        <v>88</v>
      </c>
      <c r="Z45" s="431"/>
      <c r="AA45" s="431"/>
      <c r="AB45" s="431"/>
      <c r="AC45" s="431"/>
      <c r="AD45" s="431"/>
      <c r="AE45" s="431"/>
      <c r="AF45" s="431"/>
      <c r="AG45" s="431"/>
      <c r="AH45" s="431"/>
      <c r="AI45" s="431"/>
      <c r="AJ45" s="431"/>
      <c r="AK45" s="431"/>
      <c r="AL45" s="431"/>
      <c r="AM45" s="431"/>
      <c r="AN45" s="431"/>
      <c r="AO45" s="432">
        <f>SUM(AO37:AR44)</f>
        <v>2.37</v>
      </c>
      <c r="AP45" s="432"/>
      <c r="AQ45" s="432"/>
      <c r="AR45" s="433"/>
    </row>
    <row r="47" spans="3:44" ht="18" customHeight="1">
      <c r="C47" s="461" t="s">
        <v>43</v>
      </c>
      <c r="D47" s="451"/>
      <c r="E47" s="451"/>
      <c r="F47" s="451" t="s">
        <v>89</v>
      </c>
      <c r="G47" s="451"/>
      <c r="H47" s="451"/>
      <c r="I47" s="451"/>
      <c r="J47" s="451"/>
      <c r="K47" s="451"/>
      <c r="L47" s="451"/>
      <c r="M47" s="451"/>
      <c r="N47" s="451"/>
      <c r="O47" s="451"/>
      <c r="P47" s="451"/>
      <c r="Q47" s="451"/>
      <c r="R47" s="451"/>
      <c r="S47" s="451" t="s">
        <v>90</v>
      </c>
      <c r="T47" s="451"/>
      <c r="U47" s="451"/>
      <c r="V47" s="451" t="s">
        <v>91</v>
      </c>
      <c r="W47" s="451"/>
      <c r="X47" s="451"/>
      <c r="Y47" s="451" t="s">
        <v>92</v>
      </c>
      <c r="Z47" s="451"/>
      <c r="AA47" s="451"/>
      <c r="AB47" s="451"/>
      <c r="AC47" s="451"/>
      <c r="AD47" s="451"/>
      <c r="AE47" s="451" t="s">
        <v>93</v>
      </c>
      <c r="AF47" s="451"/>
      <c r="AG47" s="451"/>
      <c r="AH47" s="451" t="s">
        <v>94</v>
      </c>
      <c r="AI47" s="451"/>
      <c r="AJ47" s="451"/>
      <c r="AK47" s="451" t="s">
        <v>86</v>
      </c>
      <c r="AL47" s="451"/>
      <c r="AM47" s="451"/>
      <c r="AN47" s="451"/>
      <c r="AO47" s="451" t="s">
        <v>87</v>
      </c>
      <c r="AP47" s="451"/>
      <c r="AQ47" s="451"/>
      <c r="AR47" s="453"/>
    </row>
    <row r="48" spans="3:44" ht="18" customHeight="1">
      <c r="C48" s="462"/>
      <c r="D48" s="452"/>
      <c r="E48" s="452"/>
      <c r="F48" s="452"/>
      <c r="G48" s="452"/>
      <c r="H48" s="452"/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2"/>
      <c r="AB48" s="452"/>
      <c r="AC48" s="452"/>
      <c r="AD48" s="452"/>
      <c r="AE48" s="452"/>
      <c r="AF48" s="452"/>
      <c r="AG48" s="452"/>
      <c r="AH48" s="452"/>
      <c r="AI48" s="452"/>
      <c r="AJ48" s="452"/>
      <c r="AK48" s="452"/>
      <c r="AL48" s="452"/>
      <c r="AM48" s="452"/>
      <c r="AN48" s="452"/>
      <c r="AO48" s="452"/>
      <c r="AP48" s="452"/>
      <c r="AQ48" s="452"/>
      <c r="AR48" s="454"/>
    </row>
    <row r="49" spans="1:44" ht="18" customHeight="1">
      <c r="C49" s="455"/>
      <c r="D49" s="456"/>
      <c r="E49" s="456"/>
      <c r="F49" s="457"/>
      <c r="G49" s="457"/>
      <c r="H49" s="457"/>
      <c r="I49" s="457"/>
      <c r="J49" s="457"/>
      <c r="K49" s="457"/>
      <c r="L49" s="457"/>
      <c r="M49" s="457"/>
      <c r="N49" s="457"/>
      <c r="O49" s="457"/>
      <c r="P49" s="457"/>
      <c r="Q49" s="457"/>
      <c r="R49" s="457"/>
      <c r="S49" s="458"/>
      <c r="T49" s="458"/>
      <c r="U49" s="458"/>
      <c r="V49" s="458"/>
      <c r="W49" s="458"/>
      <c r="X49" s="458"/>
      <c r="Y49" s="459"/>
      <c r="Z49" s="459"/>
      <c r="AA49" s="459"/>
      <c r="AB49" s="459"/>
      <c r="AC49" s="459"/>
      <c r="AD49" s="459"/>
      <c r="AE49" s="449"/>
      <c r="AF49" s="449"/>
      <c r="AG49" s="449"/>
      <c r="AH49" s="449"/>
      <c r="AI49" s="449"/>
      <c r="AJ49" s="449"/>
      <c r="AK49" s="460"/>
      <c r="AL49" s="460"/>
      <c r="AM49" s="460"/>
      <c r="AN49" s="460"/>
      <c r="AO49" s="449">
        <f t="shared" ref="AO49:AO56" si="0">ROUND(AE49*AH49*AK49,2)</f>
        <v>0</v>
      </c>
      <c r="AP49" s="449"/>
      <c r="AQ49" s="449"/>
      <c r="AR49" s="450"/>
    </row>
    <row r="50" spans="1:44" ht="18" customHeight="1">
      <c r="C50" s="444"/>
      <c r="D50" s="445"/>
      <c r="E50" s="445"/>
      <c r="F50" s="446"/>
      <c r="G50" s="446"/>
      <c r="H50" s="446"/>
      <c r="I50" s="446"/>
      <c r="J50" s="446"/>
      <c r="K50" s="446"/>
      <c r="L50" s="446"/>
      <c r="M50" s="446"/>
      <c r="N50" s="446"/>
      <c r="O50" s="446"/>
      <c r="P50" s="446"/>
      <c r="Q50" s="446"/>
      <c r="R50" s="446"/>
      <c r="S50" s="447"/>
      <c r="T50" s="447"/>
      <c r="U50" s="447"/>
      <c r="V50" s="447"/>
      <c r="W50" s="447"/>
      <c r="X50" s="447"/>
      <c r="Y50" s="448"/>
      <c r="Z50" s="448"/>
      <c r="AA50" s="448"/>
      <c r="AB50" s="448"/>
      <c r="AC50" s="448"/>
      <c r="AD50" s="448"/>
      <c r="AE50" s="425"/>
      <c r="AF50" s="425"/>
      <c r="AG50" s="425"/>
      <c r="AH50" s="425"/>
      <c r="AI50" s="425"/>
      <c r="AJ50" s="425"/>
      <c r="AK50" s="424"/>
      <c r="AL50" s="424"/>
      <c r="AM50" s="424"/>
      <c r="AN50" s="424"/>
      <c r="AO50" s="425">
        <f t="shared" si="0"/>
        <v>0</v>
      </c>
      <c r="AP50" s="425"/>
      <c r="AQ50" s="425"/>
      <c r="AR50" s="426"/>
    </row>
    <row r="51" spans="1:44" ht="18" customHeight="1">
      <c r="C51" s="444"/>
      <c r="D51" s="445"/>
      <c r="E51" s="445"/>
      <c r="F51" s="446"/>
      <c r="G51" s="446"/>
      <c r="H51" s="446"/>
      <c r="I51" s="446"/>
      <c r="J51" s="446"/>
      <c r="K51" s="446"/>
      <c r="L51" s="446"/>
      <c r="M51" s="446"/>
      <c r="N51" s="446"/>
      <c r="O51" s="446"/>
      <c r="P51" s="446"/>
      <c r="Q51" s="446"/>
      <c r="R51" s="446"/>
      <c r="S51" s="447"/>
      <c r="T51" s="447"/>
      <c r="U51" s="447"/>
      <c r="V51" s="447"/>
      <c r="W51" s="447"/>
      <c r="X51" s="447"/>
      <c r="Y51" s="448"/>
      <c r="Z51" s="448"/>
      <c r="AA51" s="448"/>
      <c r="AB51" s="448"/>
      <c r="AC51" s="448"/>
      <c r="AD51" s="448"/>
      <c r="AE51" s="425"/>
      <c r="AF51" s="425"/>
      <c r="AG51" s="425"/>
      <c r="AH51" s="425"/>
      <c r="AI51" s="425"/>
      <c r="AJ51" s="425"/>
      <c r="AK51" s="424"/>
      <c r="AL51" s="424"/>
      <c r="AM51" s="424"/>
      <c r="AN51" s="424"/>
      <c r="AO51" s="425">
        <f t="shared" si="0"/>
        <v>0</v>
      </c>
      <c r="AP51" s="425"/>
      <c r="AQ51" s="425"/>
      <c r="AR51" s="426"/>
    </row>
    <row r="52" spans="1:44" ht="18" customHeight="1">
      <c r="C52" s="444"/>
      <c r="D52" s="445"/>
      <c r="E52" s="445"/>
      <c r="F52" s="446"/>
      <c r="G52" s="446"/>
      <c r="H52" s="446"/>
      <c r="I52" s="446"/>
      <c r="J52" s="446"/>
      <c r="K52" s="446"/>
      <c r="L52" s="446"/>
      <c r="M52" s="446"/>
      <c r="N52" s="446"/>
      <c r="O52" s="446"/>
      <c r="P52" s="446"/>
      <c r="Q52" s="446"/>
      <c r="R52" s="446"/>
      <c r="S52" s="447"/>
      <c r="T52" s="447"/>
      <c r="U52" s="447"/>
      <c r="V52" s="447"/>
      <c r="W52" s="447"/>
      <c r="X52" s="447"/>
      <c r="Y52" s="448"/>
      <c r="Z52" s="448"/>
      <c r="AA52" s="448"/>
      <c r="AB52" s="448"/>
      <c r="AC52" s="448"/>
      <c r="AD52" s="448"/>
      <c r="AE52" s="425"/>
      <c r="AF52" s="425"/>
      <c r="AG52" s="425"/>
      <c r="AH52" s="425"/>
      <c r="AI52" s="425"/>
      <c r="AJ52" s="425"/>
      <c r="AK52" s="424"/>
      <c r="AL52" s="424"/>
      <c r="AM52" s="424"/>
      <c r="AN52" s="424"/>
      <c r="AO52" s="425">
        <f t="shared" si="0"/>
        <v>0</v>
      </c>
      <c r="AP52" s="425"/>
      <c r="AQ52" s="425"/>
      <c r="AR52" s="426"/>
    </row>
    <row r="53" spans="1:44" ht="18" customHeight="1">
      <c r="C53" s="444"/>
      <c r="D53" s="445"/>
      <c r="E53" s="445"/>
      <c r="F53" s="446"/>
      <c r="G53" s="446"/>
      <c r="H53" s="446"/>
      <c r="I53" s="446"/>
      <c r="J53" s="446"/>
      <c r="K53" s="446"/>
      <c r="L53" s="446"/>
      <c r="M53" s="446"/>
      <c r="N53" s="446"/>
      <c r="O53" s="446"/>
      <c r="P53" s="446"/>
      <c r="Q53" s="446"/>
      <c r="R53" s="446"/>
      <c r="S53" s="447"/>
      <c r="T53" s="447"/>
      <c r="U53" s="447"/>
      <c r="V53" s="447"/>
      <c r="W53" s="447"/>
      <c r="X53" s="447"/>
      <c r="Y53" s="448"/>
      <c r="Z53" s="448"/>
      <c r="AA53" s="448"/>
      <c r="AB53" s="448"/>
      <c r="AC53" s="448"/>
      <c r="AD53" s="448"/>
      <c r="AE53" s="425"/>
      <c r="AF53" s="425"/>
      <c r="AG53" s="425"/>
      <c r="AH53" s="425"/>
      <c r="AI53" s="425"/>
      <c r="AJ53" s="425"/>
      <c r="AK53" s="424"/>
      <c r="AL53" s="424"/>
      <c r="AM53" s="424"/>
      <c r="AN53" s="424"/>
      <c r="AO53" s="425">
        <f t="shared" si="0"/>
        <v>0</v>
      </c>
      <c r="AP53" s="425"/>
      <c r="AQ53" s="425"/>
      <c r="AR53" s="426"/>
    </row>
    <row r="54" spans="1:44" ht="18" customHeight="1">
      <c r="C54" s="444"/>
      <c r="D54" s="445"/>
      <c r="E54" s="445"/>
      <c r="F54" s="446"/>
      <c r="G54" s="446"/>
      <c r="H54" s="446"/>
      <c r="I54" s="446"/>
      <c r="J54" s="446"/>
      <c r="K54" s="446"/>
      <c r="L54" s="446"/>
      <c r="M54" s="446"/>
      <c r="N54" s="446"/>
      <c r="O54" s="446"/>
      <c r="P54" s="446"/>
      <c r="Q54" s="446"/>
      <c r="R54" s="446"/>
      <c r="S54" s="447"/>
      <c r="T54" s="447"/>
      <c r="U54" s="447"/>
      <c r="V54" s="447"/>
      <c r="W54" s="447"/>
      <c r="X54" s="447"/>
      <c r="Y54" s="448"/>
      <c r="Z54" s="448"/>
      <c r="AA54" s="448"/>
      <c r="AB54" s="448"/>
      <c r="AC54" s="448"/>
      <c r="AD54" s="448"/>
      <c r="AE54" s="425"/>
      <c r="AF54" s="425"/>
      <c r="AG54" s="425"/>
      <c r="AH54" s="425"/>
      <c r="AI54" s="425"/>
      <c r="AJ54" s="425"/>
      <c r="AK54" s="424"/>
      <c r="AL54" s="424"/>
      <c r="AM54" s="424"/>
      <c r="AN54" s="424"/>
      <c r="AO54" s="425">
        <f t="shared" si="0"/>
        <v>0</v>
      </c>
      <c r="AP54" s="425"/>
      <c r="AQ54" s="425"/>
      <c r="AR54" s="426"/>
    </row>
    <row r="55" spans="1:44" ht="18" customHeight="1">
      <c r="C55" s="444"/>
      <c r="D55" s="445"/>
      <c r="E55" s="445"/>
      <c r="F55" s="446"/>
      <c r="G55" s="446"/>
      <c r="H55" s="446"/>
      <c r="I55" s="446"/>
      <c r="J55" s="446"/>
      <c r="K55" s="446"/>
      <c r="L55" s="446"/>
      <c r="M55" s="446"/>
      <c r="N55" s="446"/>
      <c r="O55" s="446"/>
      <c r="P55" s="446"/>
      <c r="Q55" s="446"/>
      <c r="R55" s="446"/>
      <c r="S55" s="447"/>
      <c r="T55" s="447"/>
      <c r="U55" s="447"/>
      <c r="V55" s="447"/>
      <c r="W55" s="447"/>
      <c r="X55" s="447"/>
      <c r="Y55" s="448"/>
      <c r="Z55" s="448"/>
      <c r="AA55" s="448"/>
      <c r="AB55" s="448"/>
      <c r="AC55" s="448"/>
      <c r="AD55" s="448"/>
      <c r="AE55" s="425"/>
      <c r="AF55" s="425"/>
      <c r="AG55" s="425"/>
      <c r="AH55" s="425"/>
      <c r="AI55" s="425"/>
      <c r="AJ55" s="425"/>
      <c r="AK55" s="424"/>
      <c r="AL55" s="424"/>
      <c r="AM55" s="424"/>
      <c r="AN55" s="424"/>
      <c r="AO55" s="425">
        <f t="shared" si="0"/>
        <v>0</v>
      </c>
      <c r="AP55" s="425"/>
      <c r="AQ55" s="425"/>
      <c r="AR55" s="426"/>
    </row>
    <row r="56" spans="1:44" ht="18" customHeight="1">
      <c r="C56" s="444"/>
      <c r="D56" s="445"/>
      <c r="E56" s="445"/>
      <c r="F56" s="446"/>
      <c r="G56" s="446"/>
      <c r="H56" s="446"/>
      <c r="I56" s="446"/>
      <c r="J56" s="446"/>
      <c r="K56" s="446"/>
      <c r="L56" s="446"/>
      <c r="M56" s="446"/>
      <c r="N56" s="446"/>
      <c r="O56" s="446"/>
      <c r="P56" s="446"/>
      <c r="Q56" s="446"/>
      <c r="R56" s="446"/>
      <c r="S56" s="447"/>
      <c r="T56" s="447"/>
      <c r="U56" s="447"/>
      <c r="V56" s="447"/>
      <c r="W56" s="447"/>
      <c r="X56" s="447"/>
      <c r="Y56" s="448"/>
      <c r="Z56" s="448"/>
      <c r="AA56" s="448"/>
      <c r="AB56" s="448"/>
      <c r="AC56" s="448"/>
      <c r="AD56" s="448"/>
      <c r="AE56" s="425"/>
      <c r="AF56" s="425"/>
      <c r="AG56" s="425"/>
      <c r="AH56" s="425"/>
      <c r="AI56" s="425"/>
      <c r="AJ56" s="425"/>
      <c r="AK56" s="424"/>
      <c r="AL56" s="424"/>
      <c r="AM56" s="424"/>
      <c r="AN56" s="424"/>
      <c r="AO56" s="425">
        <f t="shared" si="0"/>
        <v>0</v>
      </c>
      <c r="AP56" s="425"/>
      <c r="AQ56" s="425"/>
      <c r="AR56" s="426"/>
    </row>
    <row r="57" spans="1:44" ht="18" customHeight="1">
      <c r="C57" s="427"/>
      <c r="D57" s="428"/>
      <c r="E57" s="428"/>
      <c r="F57" s="428"/>
      <c r="G57" s="428"/>
      <c r="H57" s="428"/>
      <c r="I57" s="428"/>
      <c r="J57" s="428"/>
      <c r="K57" s="428"/>
      <c r="L57" s="428"/>
      <c r="M57" s="428"/>
      <c r="N57" s="428"/>
      <c r="O57" s="428"/>
      <c r="P57" s="428"/>
      <c r="Q57" s="428"/>
      <c r="R57" s="428"/>
      <c r="S57" s="428"/>
      <c r="T57" s="428"/>
      <c r="U57" s="428"/>
      <c r="V57" s="428"/>
      <c r="W57" s="428"/>
      <c r="X57" s="429"/>
      <c r="Y57" s="430" t="s">
        <v>95</v>
      </c>
      <c r="Z57" s="431"/>
      <c r="AA57" s="431"/>
      <c r="AB57" s="431"/>
      <c r="AC57" s="431"/>
      <c r="AD57" s="431"/>
      <c r="AE57" s="431"/>
      <c r="AF57" s="431"/>
      <c r="AG57" s="431"/>
      <c r="AH57" s="431"/>
      <c r="AI57" s="431"/>
      <c r="AJ57" s="431"/>
      <c r="AK57" s="431"/>
      <c r="AL57" s="431"/>
      <c r="AM57" s="431"/>
      <c r="AN57" s="431"/>
      <c r="AO57" s="432">
        <f>SUM(AO49:AR56)</f>
        <v>0</v>
      </c>
      <c r="AP57" s="432"/>
      <c r="AQ57" s="432"/>
      <c r="AR57" s="433"/>
    </row>
    <row r="59" spans="1:44" ht="18" customHeight="1">
      <c r="C59" s="434"/>
      <c r="D59" s="434"/>
      <c r="E59" s="434"/>
      <c r="F59" s="434"/>
      <c r="G59" s="434"/>
      <c r="H59" s="434"/>
      <c r="I59" s="434"/>
      <c r="J59" s="434"/>
      <c r="K59" s="434"/>
      <c r="L59" s="434"/>
      <c r="M59" s="434"/>
      <c r="N59" s="434"/>
      <c r="O59" s="434"/>
      <c r="P59" s="434"/>
      <c r="Q59" s="434"/>
      <c r="R59" s="434"/>
      <c r="S59" s="434"/>
      <c r="T59" s="434"/>
      <c r="U59" s="434"/>
      <c r="V59" s="434"/>
      <c r="W59" s="434"/>
      <c r="X59" s="434"/>
      <c r="Y59" s="435" t="s">
        <v>96</v>
      </c>
      <c r="Z59" s="436"/>
      <c r="AA59" s="436"/>
      <c r="AB59" s="436"/>
      <c r="AC59" s="436"/>
      <c r="AD59" s="436"/>
      <c r="AE59" s="436"/>
      <c r="AF59" s="436"/>
      <c r="AG59" s="436"/>
      <c r="AH59" s="436"/>
      <c r="AI59" s="436"/>
      <c r="AJ59" s="436"/>
      <c r="AK59" s="436"/>
      <c r="AL59" s="436"/>
      <c r="AM59" s="436"/>
      <c r="AN59" s="436"/>
      <c r="AO59" s="437">
        <f>AO33+AO45+AO57</f>
        <v>11.89</v>
      </c>
      <c r="AP59" s="437"/>
      <c r="AQ59" s="437"/>
      <c r="AR59" s="438"/>
    </row>
    <row r="60" spans="1:44" ht="18" customHeight="1">
      <c r="C60" s="434"/>
      <c r="D60" s="434"/>
      <c r="E60" s="434"/>
      <c r="F60" s="434"/>
      <c r="G60" s="434"/>
      <c r="H60" s="434"/>
      <c r="I60" s="434"/>
      <c r="J60" s="434"/>
      <c r="K60" s="434"/>
      <c r="L60" s="434"/>
      <c r="M60" s="434"/>
      <c r="N60" s="434"/>
      <c r="O60" s="434"/>
      <c r="P60" s="434"/>
      <c r="Q60" s="434"/>
      <c r="R60" s="434"/>
      <c r="S60" s="434"/>
      <c r="T60" s="434"/>
      <c r="U60" s="434"/>
      <c r="V60" s="434"/>
      <c r="W60" s="434"/>
      <c r="X60" s="434"/>
      <c r="Y60" s="439" t="s">
        <v>97</v>
      </c>
      <c r="Z60" s="440"/>
      <c r="AA60" s="440"/>
      <c r="AB60" s="440"/>
      <c r="AC60" s="440"/>
      <c r="AD60" s="440"/>
      <c r="AE60" s="440"/>
      <c r="AF60" s="440"/>
      <c r="AG60" s="441"/>
      <c r="AH60" s="442">
        <v>0.2031</v>
      </c>
      <c r="AI60" s="442"/>
      <c r="AJ60" s="442"/>
      <c r="AK60" s="442"/>
      <c r="AL60" s="442"/>
      <c r="AM60" s="442"/>
      <c r="AN60" s="443"/>
      <c r="AO60" s="413">
        <f>ROUND(AO59*AH60,2)</f>
        <v>2.41</v>
      </c>
      <c r="AP60" s="413"/>
      <c r="AQ60" s="413"/>
      <c r="AR60" s="414"/>
    </row>
    <row r="61" spans="1:44" ht="18" customHeight="1">
      <c r="A61" s="415" t="s">
        <v>682</v>
      </c>
      <c r="B61" s="415"/>
      <c r="C61" s="434"/>
      <c r="D61" s="434"/>
      <c r="E61" s="434"/>
      <c r="F61" s="434"/>
      <c r="G61" s="434"/>
      <c r="H61" s="434"/>
      <c r="I61" s="434"/>
      <c r="J61" s="434"/>
      <c r="K61" s="434"/>
      <c r="L61" s="434"/>
      <c r="M61" s="434"/>
      <c r="N61" s="434"/>
      <c r="O61" s="434"/>
      <c r="P61" s="434"/>
      <c r="Q61" s="434"/>
      <c r="R61" s="434"/>
      <c r="S61" s="434"/>
      <c r="T61" s="434"/>
      <c r="U61" s="434"/>
      <c r="V61" s="434"/>
      <c r="W61" s="434"/>
      <c r="X61" s="434"/>
      <c r="Y61" s="416" t="s">
        <v>98</v>
      </c>
      <c r="Z61" s="417"/>
      <c r="AA61" s="417"/>
      <c r="AB61" s="417"/>
      <c r="AC61" s="417"/>
      <c r="AD61" s="417"/>
      <c r="AE61" s="417"/>
      <c r="AF61" s="417"/>
      <c r="AG61" s="417"/>
      <c r="AH61" s="417"/>
      <c r="AI61" s="417"/>
      <c r="AJ61" s="417"/>
      <c r="AK61" s="417"/>
      <c r="AL61" s="417"/>
      <c r="AM61" s="417"/>
      <c r="AN61" s="417"/>
      <c r="AO61" s="418">
        <f>SUM(AO59:AR60)</f>
        <v>14.3</v>
      </c>
      <c r="AP61" s="418"/>
      <c r="AQ61" s="418"/>
      <c r="AR61" s="419"/>
    </row>
    <row r="63" spans="1:44" ht="18" customHeight="1">
      <c r="C63" s="420" t="s">
        <v>99</v>
      </c>
      <c r="D63" s="421"/>
      <c r="E63" s="421"/>
      <c r="F63" s="421"/>
      <c r="G63" s="421"/>
      <c r="H63" s="421"/>
      <c r="I63" s="422"/>
      <c r="J63" s="422"/>
      <c r="K63" s="422"/>
      <c r="L63" s="422"/>
      <c r="M63" s="422"/>
      <c r="N63" s="422"/>
      <c r="O63" s="422"/>
      <c r="P63" s="422"/>
      <c r="Q63" s="422"/>
      <c r="R63" s="422"/>
      <c r="S63" s="422"/>
      <c r="T63" s="422"/>
      <c r="U63" s="422"/>
      <c r="V63" s="422"/>
      <c r="W63" s="422"/>
      <c r="X63" s="422"/>
      <c r="Y63" s="422"/>
      <c r="Z63" s="422"/>
      <c r="AA63" s="422"/>
      <c r="AB63" s="422"/>
      <c r="AC63" s="422"/>
      <c r="AD63" s="422"/>
      <c r="AE63" s="422"/>
      <c r="AF63" s="422"/>
      <c r="AG63" s="422"/>
      <c r="AH63" s="422"/>
      <c r="AI63" s="422"/>
      <c r="AJ63" s="422"/>
      <c r="AK63" s="422"/>
      <c r="AL63" s="422"/>
      <c r="AM63" s="422"/>
      <c r="AN63" s="422"/>
      <c r="AO63" s="422"/>
      <c r="AP63" s="422"/>
      <c r="AQ63" s="422"/>
      <c r="AR63" s="423"/>
    </row>
    <row r="64" spans="1:44" ht="18" customHeight="1">
      <c r="C64" s="411"/>
      <c r="D64" s="412"/>
      <c r="E64" s="412"/>
      <c r="F64" s="412"/>
      <c r="G64" s="412"/>
      <c r="H64" s="412"/>
      <c r="I64" s="409"/>
      <c r="J64" s="409"/>
      <c r="K64" s="409"/>
      <c r="L64" s="409"/>
      <c r="M64" s="409"/>
      <c r="N64" s="409"/>
      <c r="O64" s="409"/>
      <c r="P64" s="409"/>
      <c r="Q64" s="409"/>
      <c r="R64" s="409"/>
      <c r="S64" s="409"/>
      <c r="T64" s="409"/>
      <c r="U64" s="409"/>
      <c r="V64" s="409"/>
      <c r="W64" s="409"/>
      <c r="X64" s="409"/>
      <c r="Y64" s="409"/>
      <c r="Z64" s="409"/>
      <c r="AA64" s="409"/>
      <c r="AB64" s="409"/>
      <c r="AC64" s="409"/>
      <c r="AD64" s="409"/>
      <c r="AE64" s="409"/>
      <c r="AF64" s="409"/>
      <c r="AG64" s="409"/>
      <c r="AH64" s="409"/>
      <c r="AI64" s="409"/>
      <c r="AJ64" s="409"/>
      <c r="AK64" s="409"/>
      <c r="AL64" s="409"/>
      <c r="AM64" s="409"/>
      <c r="AN64" s="409"/>
      <c r="AO64" s="409"/>
      <c r="AP64" s="409"/>
      <c r="AQ64" s="409"/>
      <c r="AR64" s="410"/>
    </row>
    <row r="65" spans="3:44" ht="18" customHeight="1">
      <c r="C65" s="411"/>
      <c r="D65" s="412"/>
      <c r="E65" s="412"/>
      <c r="F65" s="412"/>
      <c r="G65" s="412"/>
      <c r="H65" s="412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409"/>
      <c r="AC65" s="409"/>
      <c r="AD65" s="409"/>
      <c r="AE65" s="409"/>
      <c r="AF65" s="409"/>
      <c r="AG65" s="409"/>
      <c r="AH65" s="409"/>
      <c r="AI65" s="409"/>
      <c r="AJ65" s="409"/>
      <c r="AK65" s="409"/>
      <c r="AL65" s="409"/>
      <c r="AM65" s="409"/>
      <c r="AN65" s="409"/>
      <c r="AO65" s="409"/>
      <c r="AP65" s="409"/>
      <c r="AQ65" s="409"/>
      <c r="AR65" s="410"/>
    </row>
    <row r="66" spans="3:44" ht="18" customHeight="1">
      <c r="C66" s="411"/>
      <c r="D66" s="412"/>
      <c r="E66" s="412"/>
      <c r="F66" s="412"/>
      <c r="G66" s="412"/>
      <c r="H66" s="412"/>
      <c r="I66" s="409"/>
      <c r="J66" s="409"/>
      <c r="K66" s="409"/>
      <c r="L66" s="409"/>
      <c r="M66" s="409"/>
      <c r="N66" s="409"/>
      <c r="O66" s="409"/>
      <c r="P66" s="409"/>
      <c r="Q66" s="409"/>
      <c r="R66" s="409"/>
      <c r="S66" s="409"/>
      <c r="T66" s="409"/>
      <c r="U66" s="409"/>
      <c r="V66" s="409"/>
      <c r="W66" s="409"/>
      <c r="X66" s="409"/>
      <c r="Y66" s="409"/>
      <c r="Z66" s="409"/>
      <c r="AA66" s="409"/>
      <c r="AB66" s="409"/>
      <c r="AC66" s="409"/>
      <c r="AD66" s="409"/>
      <c r="AE66" s="409"/>
      <c r="AF66" s="409"/>
      <c r="AG66" s="409"/>
      <c r="AH66" s="409"/>
      <c r="AI66" s="409"/>
      <c r="AJ66" s="409"/>
      <c r="AK66" s="409"/>
      <c r="AL66" s="409"/>
      <c r="AM66" s="409"/>
      <c r="AN66" s="409"/>
      <c r="AO66" s="409"/>
      <c r="AP66" s="409"/>
      <c r="AQ66" s="409"/>
      <c r="AR66" s="410"/>
    </row>
    <row r="67" spans="3:44" ht="18" customHeight="1">
      <c r="C67" s="411"/>
      <c r="D67" s="412"/>
      <c r="E67" s="412"/>
      <c r="F67" s="412"/>
      <c r="G67" s="412"/>
      <c r="H67" s="412"/>
      <c r="I67" s="409"/>
      <c r="J67" s="409"/>
      <c r="K67" s="409"/>
      <c r="L67" s="409"/>
      <c r="M67" s="409"/>
      <c r="N67" s="409"/>
      <c r="O67" s="409"/>
      <c r="P67" s="409"/>
      <c r="Q67" s="409"/>
      <c r="R67" s="409"/>
      <c r="S67" s="409"/>
      <c r="T67" s="409"/>
      <c r="U67" s="409"/>
      <c r="V67" s="409"/>
      <c r="W67" s="409"/>
      <c r="X67" s="409"/>
      <c r="Y67" s="409"/>
      <c r="Z67" s="409"/>
      <c r="AA67" s="409"/>
      <c r="AB67" s="409"/>
      <c r="AC67" s="409"/>
      <c r="AD67" s="409"/>
      <c r="AE67" s="409"/>
      <c r="AF67" s="409"/>
      <c r="AG67" s="409"/>
      <c r="AH67" s="409"/>
      <c r="AI67" s="409"/>
      <c r="AJ67" s="409"/>
      <c r="AK67" s="409"/>
      <c r="AL67" s="409"/>
      <c r="AM67" s="409"/>
      <c r="AN67" s="409"/>
      <c r="AO67" s="409"/>
      <c r="AP67" s="409"/>
      <c r="AQ67" s="409"/>
      <c r="AR67" s="410"/>
    </row>
    <row r="68" spans="3:44" ht="18" customHeight="1">
      <c r="C68" s="385"/>
      <c r="D68" s="386"/>
      <c r="E68" s="386"/>
      <c r="F68" s="386"/>
      <c r="G68" s="386"/>
      <c r="H68" s="386"/>
      <c r="I68" s="387"/>
      <c r="J68" s="387"/>
      <c r="K68" s="387"/>
      <c r="L68" s="387"/>
      <c r="M68" s="387"/>
      <c r="N68" s="387"/>
      <c r="O68" s="387"/>
      <c r="P68" s="387"/>
      <c r="Q68" s="387"/>
      <c r="R68" s="387"/>
      <c r="S68" s="387"/>
      <c r="T68" s="387"/>
      <c r="U68" s="387"/>
      <c r="V68" s="387"/>
      <c r="W68" s="387"/>
      <c r="X68" s="387"/>
      <c r="Y68" s="387"/>
      <c r="Z68" s="387"/>
      <c r="AA68" s="387"/>
      <c r="AB68" s="387"/>
      <c r="AC68" s="387"/>
      <c r="AD68" s="387"/>
      <c r="AE68" s="387"/>
      <c r="AF68" s="387"/>
      <c r="AG68" s="387"/>
      <c r="AH68" s="387"/>
      <c r="AI68" s="387"/>
      <c r="AJ68" s="387"/>
      <c r="AK68" s="387"/>
      <c r="AL68" s="387"/>
      <c r="AM68" s="387"/>
      <c r="AN68" s="387"/>
      <c r="AO68" s="387"/>
      <c r="AP68" s="387"/>
      <c r="AQ68" s="387"/>
      <c r="AR68" s="388"/>
    </row>
    <row r="70" spans="3:44" ht="18" customHeight="1">
      <c r="C70" s="389" t="s">
        <v>100</v>
      </c>
      <c r="D70" s="390"/>
      <c r="E70" s="390"/>
      <c r="F70" s="390"/>
      <c r="G70" s="390"/>
      <c r="H70" s="390"/>
      <c r="I70" s="390"/>
      <c r="J70" s="390"/>
      <c r="K70" s="390"/>
      <c r="L70" s="390"/>
      <c r="M70" s="390"/>
      <c r="N70" s="390"/>
      <c r="O70" s="390"/>
      <c r="P70" s="390"/>
      <c r="Q70" s="390"/>
      <c r="R70" s="390"/>
      <c r="S70" s="390"/>
      <c r="T70" s="390"/>
      <c r="U70" s="390"/>
      <c r="V70" s="390"/>
      <c r="W70" s="390"/>
      <c r="X70" s="390"/>
      <c r="Y70" s="390"/>
      <c r="Z70" s="390"/>
      <c r="AA70" s="391"/>
      <c r="AB70" s="392" t="str">
        <f>[4]C.UNIT.SERV.!$E$5</f>
        <v>DATA-BASE:      MAIO/2011/PR</v>
      </c>
      <c r="AC70" s="393"/>
      <c r="AD70" s="393"/>
      <c r="AE70" s="393"/>
      <c r="AF70" s="393"/>
      <c r="AG70" s="393"/>
      <c r="AH70" s="393"/>
      <c r="AI70" s="394"/>
      <c r="AJ70" s="392"/>
      <c r="AK70" s="393"/>
      <c r="AL70" s="393"/>
      <c r="AM70" s="393"/>
      <c r="AN70" s="393"/>
      <c r="AO70" s="393"/>
      <c r="AP70" s="393"/>
      <c r="AQ70" s="393"/>
      <c r="AR70" s="401"/>
    </row>
    <row r="71" spans="3:44" ht="18" customHeight="1">
      <c r="C71" s="404" t="s">
        <v>101</v>
      </c>
      <c r="D71" s="405"/>
      <c r="E71" s="405"/>
      <c r="F71" s="405"/>
      <c r="G71" s="405" t="s">
        <v>283</v>
      </c>
      <c r="H71" s="405"/>
      <c r="I71" s="405"/>
      <c r="J71" s="405"/>
      <c r="K71" s="405"/>
      <c r="L71" s="405"/>
      <c r="M71" s="405"/>
      <c r="N71" s="405"/>
      <c r="O71" s="405"/>
      <c r="P71" s="405"/>
      <c r="Q71" s="405"/>
      <c r="R71" s="405"/>
      <c r="S71" s="405"/>
      <c r="T71" s="405"/>
      <c r="U71" s="405"/>
      <c r="V71" s="405"/>
      <c r="W71" s="405"/>
      <c r="X71" s="405"/>
      <c r="Y71" s="405"/>
      <c r="Z71" s="405"/>
      <c r="AA71" s="406"/>
      <c r="AB71" s="395"/>
      <c r="AC71" s="396"/>
      <c r="AD71" s="396"/>
      <c r="AE71" s="396"/>
      <c r="AF71" s="396"/>
      <c r="AG71" s="396"/>
      <c r="AH71" s="396"/>
      <c r="AI71" s="397"/>
      <c r="AJ71" s="395"/>
      <c r="AK71" s="396"/>
      <c r="AL71" s="396"/>
      <c r="AM71" s="396"/>
      <c r="AN71" s="396"/>
      <c r="AO71" s="396"/>
      <c r="AP71" s="396"/>
      <c r="AQ71" s="396"/>
      <c r="AR71" s="402"/>
    </row>
    <row r="72" spans="3:44" ht="18" customHeight="1">
      <c r="C72" s="404" t="s">
        <v>102</v>
      </c>
      <c r="D72" s="405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5"/>
      <c r="Q72" s="405"/>
      <c r="R72" s="405"/>
      <c r="S72" s="405"/>
      <c r="T72" s="405"/>
      <c r="U72" s="405"/>
      <c r="V72" s="405"/>
      <c r="W72" s="405"/>
      <c r="X72" s="405"/>
      <c r="Y72" s="405"/>
      <c r="Z72" s="405"/>
      <c r="AA72" s="406"/>
      <c r="AB72" s="395"/>
      <c r="AC72" s="396"/>
      <c r="AD72" s="396"/>
      <c r="AE72" s="396"/>
      <c r="AF72" s="396"/>
      <c r="AG72" s="396"/>
      <c r="AH72" s="396"/>
      <c r="AI72" s="397"/>
      <c r="AJ72" s="395"/>
      <c r="AK72" s="396"/>
      <c r="AL72" s="396"/>
      <c r="AM72" s="396"/>
      <c r="AN72" s="396"/>
      <c r="AO72" s="396"/>
      <c r="AP72" s="396"/>
      <c r="AQ72" s="396"/>
      <c r="AR72" s="402"/>
    </row>
    <row r="73" spans="3:44" ht="18" customHeight="1">
      <c r="C73" s="407"/>
      <c r="D73" s="408"/>
      <c r="E73" s="408"/>
      <c r="F73" s="408"/>
      <c r="G73" s="408"/>
      <c r="H73" s="408"/>
      <c r="I73" s="408"/>
      <c r="J73" s="408"/>
      <c r="K73" s="408"/>
      <c r="L73" s="408"/>
      <c r="M73" s="408"/>
      <c r="N73" s="408"/>
      <c r="O73" s="408"/>
      <c r="P73" s="408"/>
      <c r="Q73" s="408"/>
      <c r="R73" s="408"/>
      <c r="S73" s="408"/>
      <c r="T73" s="408"/>
      <c r="U73" s="408"/>
      <c r="V73" s="408"/>
      <c r="W73" s="408"/>
      <c r="X73" s="408"/>
      <c r="Y73" s="408"/>
      <c r="Z73" s="408"/>
      <c r="AA73" s="408"/>
      <c r="AB73" s="398"/>
      <c r="AC73" s="399"/>
      <c r="AD73" s="399"/>
      <c r="AE73" s="399"/>
      <c r="AF73" s="399"/>
      <c r="AG73" s="399"/>
      <c r="AH73" s="399"/>
      <c r="AI73" s="400"/>
      <c r="AJ73" s="398"/>
      <c r="AK73" s="399"/>
      <c r="AL73" s="399"/>
      <c r="AM73" s="399"/>
      <c r="AN73" s="399"/>
      <c r="AO73" s="399"/>
      <c r="AP73" s="399"/>
      <c r="AQ73" s="399"/>
      <c r="AR73" s="403"/>
    </row>
    <row r="75" spans="3:44" ht="18" customHeight="1">
      <c r="C75" s="496" t="s">
        <v>64</v>
      </c>
      <c r="D75" s="497"/>
      <c r="E75" s="497"/>
      <c r="F75" s="497"/>
      <c r="G75" s="497"/>
      <c r="H75" s="497"/>
      <c r="I75" s="497"/>
      <c r="J75" s="497"/>
      <c r="K75" s="497"/>
      <c r="L75" s="497"/>
      <c r="M75" s="497"/>
      <c r="N75" s="497"/>
      <c r="O75" s="497"/>
      <c r="P75" s="497"/>
      <c r="Q75" s="497"/>
      <c r="R75" s="497"/>
      <c r="S75" s="497"/>
      <c r="T75" s="497"/>
      <c r="U75" s="497"/>
      <c r="V75" s="497"/>
      <c r="W75" s="497"/>
      <c r="X75" s="497"/>
      <c r="Y75" s="497"/>
      <c r="Z75" s="497"/>
      <c r="AA75" s="497"/>
      <c r="AB75" s="497"/>
      <c r="AC75" s="497"/>
      <c r="AD75" s="497"/>
      <c r="AE75" s="497"/>
      <c r="AF75" s="497"/>
      <c r="AG75" s="497"/>
      <c r="AH75" s="497"/>
      <c r="AI75" s="497"/>
      <c r="AJ75" s="497"/>
      <c r="AK75" s="497"/>
      <c r="AL75" s="497"/>
      <c r="AM75" s="497"/>
      <c r="AN75" s="497"/>
      <c r="AO75" s="497"/>
      <c r="AP75" s="497"/>
      <c r="AQ75" s="497"/>
      <c r="AR75" s="498"/>
    </row>
    <row r="76" spans="3:44" ht="18" customHeight="1">
      <c r="C76" s="499"/>
      <c r="D76" s="500"/>
      <c r="E76" s="500"/>
      <c r="F76" s="500"/>
      <c r="G76" s="500"/>
      <c r="H76" s="500"/>
      <c r="I76" s="500"/>
      <c r="J76" s="500"/>
      <c r="K76" s="500"/>
      <c r="L76" s="500"/>
      <c r="M76" s="500"/>
      <c r="N76" s="500"/>
      <c r="O76" s="500"/>
      <c r="P76" s="500"/>
      <c r="Q76" s="500"/>
      <c r="R76" s="500"/>
      <c r="S76" s="500"/>
      <c r="T76" s="500"/>
      <c r="U76" s="500"/>
      <c r="V76" s="500"/>
      <c r="W76" s="500"/>
      <c r="X76" s="500"/>
      <c r="Y76" s="500"/>
      <c r="Z76" s="500"/>
      <c r="AA76" s="500"/>
      <c r="AB76" s="500"/>
      <c r="AC76" s="500"/>
      <c r="AD76" s="500"/>
      <c r="AE76" s="500"/>
      <c r="AF76" s="500"/>
      <c r="AG76" s="500"/>
      <c r="AH76" s="500"/>
      <c r="AI76" s="500"/>
      <c r="AJ76" s="500"/>
      <c r="AK76" s="500"/>
      <c r="AL76" s="500"/>
      <c r="AM76" s="500"/>
      <c r="AN76" s="500"/>
      <c r="AO76" s="500"/>
      <c r="AP76" s="500"/>
      <c r="AQ76" s="500"/>
      <c r="AR76" s="501"/>
    </row>
    <row r="77" spans="3:44" ht="18" customHeight="1">
      <c r="C77" s="502" t="s">
        <v>65</v>
      </c>
      <c r="D77" s="503"/>
      <c r="E77" s="503"/>
      <c r="F77" s="504"/>
      <c r="G77" s="508" t="s">
        <v>681</v>
      </c>
      <c r="H77" s="509"/>
      <c r="I77" s="509"/>
      <c r="J77" s="509"/>
      <c r="K77" s="512" t="s">
        <v>66</v>
      </c>
      <c r="L77" s="512"/>
      <c r="M77" s="512"/>
      <c r="N77" s="513"/>
      <c r="O77" s="522" t="s">
        <v>124</v>
      </c>
      <c r="P77" s="523"/>
      <c r="Q77" s="523"/>
      <c r="R77" s="523"/>
      <c r="S77" s="523"/>
      <c r="T77" s="523"/>
      <c r="U77" s="523"/>
      <c r="V77" s="523"/>
      <c r="W77" s="523"/>
      <c r="X77" s="523"/>
      <c r="Y77" s="523"/>
      <c r="Z77" s="523"/>
      <c r="AA77" s="523"/>
      <c r="AB77" s="523"/>
      <c r="AC77" s="523"/>
      <c r="AD77" s="523"/>
      <c r="AE77" s="523"/>
      <c r="AF77" s="523"/>
      <c r="AG77" s="523"/>
      <c r="AH77" s="523"/>
      <c r="AI77" s="523"/>
      <c r="AJ77" s="523"/>
      <c r="AK77" s="523"/>
      <c r="AL77" s="512" t="s">
        <v>67</v>
      </c>
      <c r="AM77" s="512"/>
      <c r="AN77" s="512"/>
      <c r="AO77" s="513"/>
      <c r="AP77" s="516" t="s">
        <v>246</v>
      </c>
      <c r="AQ77" s="517"/>
      <c r="AR77" s="518"/>
    </row>
    <row r="78" spans="3:44" ht="18" customHeight="1">
      <c r="C78" s="505"/>
      <c r="D78" s="506"/>
      <c r="E78" s="506"/>
      <c r="F78" s="507"/>
      <c r="G78" s="510"/>
      <c r="H78" s="511"/>
      <c r="I78" s="511"/>
      <c r="J78" s="511"/>
      <c r="K78" s="514"/>
      <c r="L78" s="514"/>
      <c r="M78" s="514"/>
      <c r="N78" s="515"/>
      <c r="O78" s="524"/>
      <c r="P78" s="525"/>
      <c r="Q78" s="525"/>
      <c r="R78" s="525"/>
      <c r="S78" s="525"/>
      <c r="T78" s="525"/>
      <c r="U78" s="525"/>
      <c r="V78" s="525"/>
      <c r="W78" s="525"/>
      <c r="X78" s="525"/>
      <c r="Y78" s="525"/>
      <c r="Z78" s="525"/>
      <c r="AA78" s="525"/>
      <c r="AB78" s="525"/>
      <c r="AC78" s="525"/>
      <c r="AD78" s="525"/>
      <c r="AE78" s="525"/>
      <c r="AF78" s="525"/>
      <c r="AG78" s="525"/>
      <c r="AH78" s="525"/>
      <c r="AI78" s="525"/>
      <c r="AJ78" s="525"/>
      <c r="AK78" s="525"/>
      <c r="AL78" s="514"/>
      <c r="AM78" s="514"/>
      <c r="AN78" s="514"/>
      <c r="AO78" s="515"/>
      <c r="AP78" s="519"/>
      <c r="AQ78" s="520"/>
      <c r="AR78" s="521"/>
    </row>
    <row r="80" spans="3:44" ht="18" customHeight="1">
      <c r="C80" s="461" t="s">
        <v>43</v>
      </c>
      <c r="D80" s="451"/>
      <c r="E80" s="451"/>
      <c r="F80" s="451" t="s">
        <v>68</v>
      </c>
      <c r="G80" s="451"/>
      <c r="H80" s="451"/>
      <c r="I80" s="451"/>
      <c r="J80" s="451"/>
      <c r="K80" s="451"/>
      <c r="L80" s="451"/>
      <c r="M80" s="451"/>
      <c r="N80" s="451"/>
      <c r="O80" s="451"/>
      <c r="P80" s="451"/>
      <c r="Q80" s="451"/>
      <c r="R80" s="451"/>
      <c r="S80" s="451"/>
      <c r="T80" s="451"/>
      <c r="U80" s="451"/>
      <c r="V80" s="451" t="s">
        <v>249</v>
      </c>
      <c r="W80" s="451"/>
      <c r="X80" s="451"/>
      <c r="Y80" s="451" t="s">
        <v>69</v>
      </c>
      <c r="Z80" s="451"/>
      <c r="AA80" s="451"/>
      <c r="AB80" s="451"/>
      <c r="AC80" s="451"/>
      <c r="AD80" s="451"/>
      <c r="AE80" s="451"/>
      <c r="AF80" s="451"/>
      <c r="AG80" s="451" t="s">
        <v>70</v>
      </c>
      <c r="AH80" s="451"/>
      <c r="AI80" s="451"/>
      <c r="AJ80" s="451"/>
      <c r="AK80" s="451"/>
      <c r="AL80" s="451"/>
      <c r="AM80" s="451"/>
      <c r="AN80" s="451"/>
      <c r="AO80" s="451" t="s">
        <v>71</v>
      </c>
      <c r="AP80" s="451"/>
      <c r="AQ80" s="451"/>
      <c r="AR80" s="453"/>
    </row>
    <row r="81" spans="3:44" ht="18" customHeight="1">
      <c r="C81" s="462"/>
      <c r="D81" s="452"/>
      <c r="E81" s="452"/>
      <c r="F81" s="452"/>
      <c r="G81" s="452"/>
      <c r="H81" s="452"/>
      <c r="I81" s="452"/>
      <c r="J81" s="452"/>
      <c r="K81" s="452"/>
      <c r="L81" s="452"/>
      <c r="M81" s="452"/>
      <c r="N81" s="452"/>
      <c r="O81" s="452"/>
      <c r="P81" s="452"/>
      <c r="Q81" s="452"/>
      <c r="R81" s="452"/>
      <c r="S81" s="452"/>
      <c r="T81" s="452"/>
      <c r="U81" s="452"/>
      <c r="V81" s="452"/>
      <c r="W81" s="452"/>
      <c r="X81" s="452"/>
      <c r="Y81" s="452" t="s">
        <v>72</v>
      </c>
      <c r="Z81" s="452"/>
      <c r="AA81" s="452"/>
      <c r="AB81" s="452"/>
      <c r="AC81" s="452" t="s">
        <v>73</v>
      </c>
      <c r="AD81" s="452"/>
      <c r="AE81" s="452"/>
      <c r="AF81" s="452"/>
      <c r="AG81" s="452" t="s">
        <v>72</v>
      </c>
      <c r="AH81" s="452"/>
      <c r="AI81" s="452"/>
      <c r="AJ81" s="452"/>
      <c r="AK81" s="452" t="s">
        <v>73</v>
      </c>
      <c r="AL81" s="452"/>
      <c r="AM81" s="452"/>
      <c r="AN81" s="452"/>
      <c r="AO81" s="452"/>
      <c r="AP81" s="452"/>
      <c r="AQ81" s="452"/>
      <c r="AR81" s="454"/>
    </row>
    <row r="82" spans="3:44" ht="18" customHeight="1">
      <c r="C82" s="455"/>
      <c r="D82" s="456"/>
      <c r="E82" s="456"/>
      <c r="F82" s="493"/>
      <c r="G82" s="493"/>
      <c r="H82" s="493"/>
      <c r="I82" s="493"/>
      <c r="J82" s="493"/>
      <c r="K82" s="493"/>
      <c r="L82" s="493"/>
      <c r="M82" s="493"/>
      <c r="N82" s="493"/>
      <c r="O82" s="493"/>
      <c r="P82" s="493"/>
      <c r="Q82" s="493"/>
      <c r="R82" s="493"/>
      <c r="S82" s="493"/>
      <c r="T82" s="493"/>
      <c r="U82" s="493"/>
      <c r="V82" s="491"/>
      <c r="W82" s="491"/>
      <c r="X82" s="491"/>
      <c r="Y82" s="491"/>
      <c r="Z82" s="491"/>
      <c r="AA82" s="491"/>
      <c r="AB82" s="491"/>
      <c r="AC82" s="494"/>
      <c r="AD82" s="494"/>
      <c r="AE82" s="494"/>
      <c r="AF82" s="494"/>
      <c r="AG82" s="491"/>
      <c r="AH82" s="491"/>
      <c r="AI82" s="491"/>
      <c r="AJ82" s="491"/>
      <c r="AK82" s="491"/>
      <c r="AL82" s="491"/>
      <c r="AM82" s="491"/>
      <c r="AN82" s="491"/>
      <c r="AO82" s="491"/>
      <c r="AP82" s="491"/>
      <c r="AQ82" s="491"/>
      <c r="AR82" s="492"/>
    </row>
    <row r="83" spans="3:44" ht="18" customHeight="1">
      <c r="C83" s="444"/>
      <c r="D83" s="445"/>
      <c r="E83" s="445"/>
      <c r="F83" s="493"/>
      <c r="G83" s="493"/>
      <c r="H83" s="493"/>
      <c r="I83" s="493"/>
      <c r="J83" s="493"/>
      <c r="K83" s="493"/>
      <c r="L83" s="493"/>
      <c r="M83" s="493"/>
      <c r="N83" s="493"/>
      <c r="O83" s="493"/>
      <c r="P83" s="493"/>
      <c r="Q83" s="493"/>
      <c r="R83" s="493"/>
      <c r="S83" s="493"/>
      <c r="T83" s="493"/>
      <c r="U83" s="493"/>
      <c r="V83" s="491"/>
      <c r="W83" s="491"/>
      <c r="X83" s="491"/>
      <c r="Y83" s="491"/>
      <c r="Z83" s="491"/>
      <c r="AA83" s="491"/>
      <c r="AB83" s="491"/>
      <c r="AC83" s="494"/>
      <c r="AD83" s="494"/>
      <c r="AE83" s="494"/>
      <c r="AF83" s="494"/>
      <c r="AG83" s="491"/>
      <c r="AH83" s="491"/>
      <c r="AI83" s="491"/>
      <c r="AJ83" s="491"/>
      <c r="AK83" s="491"/>
      <c r="AL83" s="491"/>
      <c r="AM83" s="491"/>
      <c r="AN83" s="491"/>
      <c r="AO83" s="491"/>
      <c r="AP83" s="491"/>
      <c r="AQ83" s="491"/>
      <c r="AR83" s="492"/>
    </row>
    <row r="84" spans="3:44" ht="18" customHeight="1">
      <c r="C84" s="444"/>
      <c r="D84" s="445"/>
      <c r="E84" s="445"/>
      <c r="F84" s="463"/>
      <c r="G84" s="463"/>
      <c r="H84" s="463"/>
      <c r="I84" s="463"/>
      <c r="J84" s="463"/>
      <c r="K84" s="463"/>
      <c r="L84" s="463"/>
      <c r="M84" s="463"/>
      <c r="N84" s="463"/>
      <c r="O84" s="463"/>
      <c r="P84" s="463"/>
      <c r="Q84" s="463"/>
      <c r="R84" s="463"/>
      <c r="S84" s="463"/>
      <c r="T84" s="463"/>
      <c r="U84" s="463"/>
      <c r="V84" s="465"/>
      <c r="W84" s="465"/>
      <c r="X84" s="465"/>
      <c r="Y84" s="465"/>
      <c r="Z84" s="465"/>
      <c r="AA84" s="465"/>
      <c r="AB84" s="465"/>
      <c r="AC84" s="490"/>
      <c r="AD84" s="490"/>
      <c r="AE84" s="490"/>
      <c r="AF84" s="490"/>
      <c r="AG84" s="465"/>
      <c r="AH84" s="465"/>
      <c r="AI84" s="465"/>
      <c r="AJ84" s="465"/>
      <c r="AK84" s="465"/>
      <c r="AL84" s="465"/>
      <c r="AM84" s="465"/>
      <c r="AN84" s="465"/>
      <c r="AO84" s="465"/>
      <c r="AP84" s="465"/>
      <c r="AQ84" s="465"/>
      <c r="AR84" s="489"/>
    </row>
    <row r="85" spans="3:44" ht="18" customHeight="1">
      <c r="C85" s="444"/>
      <c r="D85" s="445"/>
      <c r="E85" s="445"/>
      <c r="F85" s="463"/>
      <c r="G85" s="463"/>
      <c r="H85" s="463"/>
      <c r="I85" s="463"/>
      <c r="J85" s="463"/>
      <c r="K85" s="463"/>
      <c r="L85" s="463"/>
      <c r="M85" s="463"/>
      <c r="N85" s="463"/>
      <c r="O85" s="463"/>
      <c r="P85" s="463"/>
      <c r="Q85" s="463"/>
      <c r="R85" s="463"/>
      <c r="S85" s="463"/>
      <c r="T85" s="463"/>
      <c r="U85" s="463"/>
      <c r="V85" s="465"/>
      <c r="W85" s="465"/>
      <c r="X85" s="465"/>
      <c r="Y85" s="465"/>
      <c r="Z85" s="465"/>
      <c r="AA85" s="465"/>
      <c r="AB85" s="465"/>
      <c r="AC85" s="490"/>
      <c r="AD85" s="490"/>
      <c r="AE85" s="490"/>
      <c r="AF85" s="490"/>
      <c r="AG85" s="465"/>
      <c r="AH85" s="465"/>
      <c r="AI85" s="465"/>
      <c r="AJ85" s="465"/>
      <c r="AK85" s="465"/>
      <c r="AL85" s="465"/>
      <c r="AM85" s="465"/>
      <c r="AN85" s="465"/>
      <c r="AO85" s="465"/>
      <c r="AP85" s="465"/>
      <c r="AQ85" s="465"/>
      <c r="AR85" s="489"/>
    </row>
    <row r="86" spans="3:44" ht="18" customHeight="1">
      <c r="C86" s="444"/>
      <c r="D86" s="445"/>
      <c r="E86" s="445"/>
      <c r="F86" s="463"/>
      <c r="G86" s="463"/>
      <c r="H86" s="463"/>
      <c r="I86" s="463"/>
      <c r="J86" s="463"/>
      <c r="K86" s="463"/>
      <c r="L86" s="463"/>
      <c r="M86" s="463"/>
      <c r="N86" s="463"/>
      <c r="O86" s="463"/>
      <c r="P86" s="463"/>
      <c r="Q86" s="463"/>
      <c r="R86" s="463"/>
      <c r="S86" s="463"/>
      <c r="T86" s="463"/>
      <c r="U86" s="463"/>
      <c r="V86" s="465"/>
      <c r="W86" s="465"/>
      <c r="X86" s="465"/>
      <c r="Y86" s="465"/>
      <c r="Z86" s="465"/>
      <c r="AA86" s="465"/>
      <c r="AB86" s="465"/>
      <c r="AC86" s="490"/>
      <c r="AD86" s="490"/>
      <c r="AE86" s="490"/>
      <c r="AF86" s="490"/>
      <c r="AG86" s="465"/>
      <c r="AH86" s="465"/>
      <c r="AI86" s="465"/>
      <c r="AJ86" s="465"/>
      <c r="AK86" s="465"/>
      <c r="AL86" s="465"/>
      <c r="AM86" s="465"/>
      <c r="AN86" s="465"/>
      <c r="AO86" s="465"/>
      <c r="AP86" s="465"/>
      <c r="AQ86" s="465"/>
      <c r="AR86" s="489"/>
    </row>
    <row r="87" spans="3:44" ht="18" customHeight="1">
      <c r="C87" s="444"/>
      <c r="D87" s="445"/>
      <c r="E87" s="445"/>
      <c r="F87" s="463"/>
      <c r="G87" s="463"/>
      <c r="H87" s="463"/>
      <c r="I87" s="463"/>
      <c r="J87" s="463"/>
      <c r="K87" s="463"/>
      <c r="L87" s="463"/>
      <c r="M87" s="463"/>
      <c r="N87" s="463"/>
      <c r="O87" s="463"/>
      <c r="P87" s="463"/>
      <c r="Q87" s="463"/>
      <c r="R87" s="463"/>
      <c r="S87" s="463"/>
      <c r="T87" s="463"/>
      <c r="U87" s="463"/>
      <c r="V87" s="465"/>
      <c r="W87" s="465"/>
      <c r="X87" s="465"/>
      <c r="Y87" s="465"/>
      <c r="Z87" s="465"/>
      <c r="AA87" s="465"/>
      <c r="AB87" s="465"/>
      <c r="AC87" s="490"/>
      <c r="AD87" s="490"/>
      <c r="AE87" s="490"/>
      <c r="AF87" s="490"/>
      <c r="AG87" s="465"/>
      <c r="AH87" s="465"/>
      <c r="AI87" s="465"/>
      <c r="AJ87" s="465"/>
      <c r="AK87" s="465"/>
      <c r="AL87" s="465"/>
      <c r="AM87" s="465"/>
      <c r="AN87" s="465"/>
      <c r="AO87" s="465"/>
      <c r="AP87" s="465"/>
      <c r="AQ87" s="465"/>
      <c r="AR87" s="489"/>
    </row>
    <row r="88" spans="3:44" ht="18" customHeight="1">
      <c r="C88" s="444"/>
      <c r="D88" s="445"/>
      <c r="E88" s="445"/>
      <c r="F88" s="463"/>
      <c r="G88" s="463"/>
      <c r="H88" s="463"/>
      <c r="I88" s="463"/>
      <c r="J88" s="463"/>
      <c r="K88" s="463"/>
      <c r="L88" s="463"/>
      <c r="M88" s="463"/>
      <c r="N88" s="463"/>
      <c r="O88" s="463"/>
      <c r="P88" s="463"/>
      <c r="Q88" s="463"/>
      <c r="R88" s="463"/>
      <c r="S88" s="463"/>
      <c r="T88" s="463"/>
      <c r="U88" s="463"/>
      <c r="V88" s="465"/>
      <c r="W88" s="465"/>
      <c r="X88" s="465"/>
      <c r="Y88" s="465"/>
      <c r="Z88" s="465"/>
      <c r="AA88" s="465"/>
      <c r="AB88" s="465"/>
      <c r="AC88" s="490"/>
      <c r="AD88" s="490"/>
      <c r="AE88" s="490"/>
      <c r="AF88" s="490"/>
      <c r="AG88" s="465"/>
      <c r="AH88" s="465"/>
      <c r="AI88" s="465"/>
      <c r="AJ88" s="465"/>
      <c r="AK88" s="465"/>
      <c r="AL88" s="465"/>
      <c r="AM88" s="465"/>
      <c r="AN88" s="465"/>
      <c r="AO88" s="465"/>
      <c r="AP88" s="465"/>
      <c r="AQ88" s="465"/>
      <c r="AR88" s="489"/>
    </row>
    <row r="89" spans="3:44" ht="18" customHeight="1">
      <c r="C89" s="444"/>
      <c r="D89" s="445"/>
      <c r="E89" s="445"/>
      <c r="F89" s="463"/>
      <c r="G89" s="463"/>
      <c r="H89" s="463"/>
      <c r="I89" s="463"/>
      <c r="J89" s="463"/>
      <c r="K89" s="463"/>
      <c r="L89" s="463"/>
      <c r="M89" s="463"/>
      <c r="N89" s="463"/>
      <c r="O89" s="463"/>
      <c r="P89" s="463"/>
      <c r="Q89" s="463"/>
      <c r="R89" s="463"/>
      <c r="S89" s="463"/>
      <c r="T89" s="463"/>
      <c r="U89" s="463"/>
      <c r="V89" s="465"/>
      <c r="W89" s="465"/>
      <c r="X89" s="465"/>
      <c r="Y89" s="465"/>
      <c r="Z89" s="465"/>
      <c r="AA89" s="465"/>
      <c r="AB89" s="465"/>
      <c r="AC89" s="490"/>
      <c r="AD89" s="490"/>
      <c r="AE89" s="490"/>
      <c r="AF89" s="490"/>
      <c r="AG89" s="465"/>
      <c r="AH89" s="465"/>
      <c r="AI89" s="465"/>
      <c r="AJ89" s="465"/>
      <c r="AK89" s="465"/>
      <c r="AL89" s="465"/>
      <c r="AM89" s="465"/>
      <c r="AN89" s="465"/>
      <c r="AO89" s="465"/>
      <c r="AP89" s="465"/>
      <c r="AQ89" s="465"/>
      <c r="AR89" s="489"/>
    </row>
    <row r="90" spans="3:44" ht="18" customHeight="1">
      <c r="C90" s="427"/>
      <c r="D90" s="428"/>
      <c r="E90" s="428"/>
      <c r="F90" s="428"/>
      <c r="G90" s="428"/>
      <c r="H90" s="428"/>
      <c r="I90" s="428"/>
      <c r="J90" s="428"/>
      <c r="K90" s="428"/>
      <c r="L90" s="428"/>
      <c r="M90" s="428"/>
      <c r="N90" s="428"/>
      <c r="O90" s="428"/>
      <c r="P90" s="428"/>
      <c r="Q90" s="428"/>
      <c r="R90" s="428"/>
      <c r="S90" s="428"/>
      <c r="T90" s="428"/>
      <c r="U90" s="428"/>
      <c r="V90" s="428"/>
      <c r="W90" s="428"/>
      <c r="X90" s="428"/>
      <c r="Y90" s="495" t="s">
        <v>74</v>
      </c>
      <c r="Z90" s="495"/>
      <c r="AA90" s="495"/>
      <c r="AB90" s="495"/>
      <c r="AC90" s="495"/>
      <c r="AD90" s="495"/>
      <c r="AE90" s="495"/>
      <c r="AF90" s="495"/>
      <c r="AG90" s="495"/>
      <c r="AH90" s="495"/>
      <c r="AI90" s="495"/>
      <c r="AJ90" s="495"/>
      <c r="AK90" s="495"/>
      <c r="AL90" s="495"/>
      <c r="AM90" s="495"/>
      <c r="AN90" s="495"/>
      <c r="AO90" s="432">
        <f>SUM(AO82:AR89)</f>
        <v>0</v>
      </c>
      <c r="AP90" s="432"/>
      <c r="AQ90" s="432"/>
      <c r="AR90" s="433"/>
    </row>
    <row r="92" spans="3:44" ht="18" customHeight="1">
      <c r="C92" s="461" t="s">
        <v>43</v>
      </c>
      <c r="D92" s="451"/>
      <c r="E92" s="451"/>
      <c r="F92" s="451" t="s">
        <v>75</v>
      </c>
      <c r="G92" s="451"/>
      <c r="H92" s="451"/>
      <c r="I92" s="451"/>
      <c r="J92" s="451"/>
      <c r="K92" s="451"/>
      <c r="L92" s="451"/>
      <c r="M92" s="451"/>
      <c r="N92" s="451"/>
      <c r="O92" s="451"/>
      <c r="P92" s="451"/>
      <c r="Q92" s="451"/>
      <c r="R92" s="451"/>
      <c r="S92" s="451"/>
      <c r="T92" s="451"/>
      <c r="U92" s="451"/>
      <c r="V92" s="451"/>
      <c r="W92" s="451"/>
      <c r="X92" s="451"/>
      <c r="Y92" s="451"/>
      <c r="Z92" s="451"/>
      <c r="AA92" s="451"/>
      <c r="AB92" s="451"/>
      <c r="AC92" s="451" t="s">
        <v>76</v>
      </c>
      <c r="AD92" s="451"/>
      <c r="AE92" s="451"/>
      <c r="AF92" s="451"/>
      <c r="AG92" s="451" t="s">
        <v>249</v>
      </c>
      <c r="AH92" s="451"/>
      <c r="AI92" s="451"/>
      <c r="AJ92" s="451"/>
      <c r="AK92" s="451" t="s">
        <v>77</v>
      </c>
      <c r="AL92" s="451"/>
      <c r="AM92" s="451"/>
      <c r="AN92" s="451"/>
      <c r="AO92" s="451" t="s">
        <v>71</v>
      </c>
      <c r="AP92" s="451"/>
      <c r="AQ92" s="451"/>
      <c r="AR92" s="453"/>
    </row>
    <row r="93" spans="3:44" ht="18" customHeight="1">
      <c r="C93" s="462"/>
      <c r="D93" s="452"/>
      <c r="E93" s="452"/>
      <c r="F93" s="452"/>
      <c r="G93" s="452"/>
      <c r="H93" s="452"/>
      <c r="I93" s="452"/>
      <c r="J93" s="452"/>
      <c r="K93" s="452"/>
      <c r="L93" s="452"/>
      <c r="M93" s="452"/>
      <c r="N93" s="452"/>
      <c r="O93" s="452"/>
      <c r="P93" s="452"/>
      <c r="Q93" s="452"/>
      <c r="R93" s="452"/>
      <c r="S93" s="452"/>
      <c r="T93" s="452"/>
      <c r="U93" s="452"/>
      <c r="V93" s="452"/>
      <c r="W93" s="452"/>
      <c r="X93" s="452"/>
      <c r="Y93" s="452"/>
      <c r="Z93" s="452"/>
      <c r="AA93" s="452"/>
      <c r="AB93" s="452"/>
      <c r="AC93" s="452"/>
      <c r="AD93" s="452"/>
      <c r="AE93" s="452"/>
      <c r="AF93" s="452"/>
      <c r="AG93" s="452"/>
      <c r="AH93" s="452"/>
      <c r="AI93" s="452"/>
      <c r="AJ93" s="452"/>
      <c r="AK93" s="452"/>
      <c r="AL93" s="452"/>
      <c r="AM93" s="452"/>
      <c r="AN93" s="452"/>
      <c r="AO93" s="452"/>
      <c r="AP93" s="452"/>
      <c r="AQ93" s="452"/>
      <c r="AR93" s="454"/>
    </row>
    <row r="94" spans="3:44" ht="18" customHeight="1">
      <c r="C94" s="455" t="s">
        <v>1383</v>
      </c>
      <c r="D94" s="456"/>
      <c r="E94" s="456"/>
      <c r="F94" s="493" t="s">
        <v>123</v>
      </c>
      <c r="G94" s="493"/>
      <c r="H94" s="493"/>
      <c r="I94" s="493"/>
      <c r="J94" s="493"/>
      <c r="K94" s="493"/>
      <c r="L94" s="493"/>
      <c r="M94" s="493"/>
      <c r="N94" s="493"/>
      <c r="O94" s="493"/>
      <c r="P94" s="493"/>
      <c r="Q94" s="493"/>
      <c r="R94" s="493"/>
      <c r="S94" s="493"/>
      <c r="T94" s="493"/>
      <c r="U94" s="493"/>
      <c r="V94" s="493"/>
      <c r="W94" s="493"/>
      <c r="X94" s="493"/>
      <c r="Y94" s="493"/>
      <c r="Z94" s="493"/>
      <c r="AA94" s="493"/>
      <c r="AB94" s="493"/>
      <c r="AC94" s="449"/>
      <c r="AD94" s="449"/>
      <c r="AE94" s="449"/>
      <c r="AF94" s="449"/>
      <c r="AG94" s="449">
        <v>0.21</v>
      </c>
      <c r="AH94" s="449"/>
      <c r="AI94" s="449"/>
      <c r="AJ94" s="449"/>
      <c r="AK94" s="449">
        <f>VLOOKUP(C94,[4]MÃODEOBRA!A$1:D$65536,4,FALSE)</f>
        <v>11.156079999999999</v>
      </c>
      <c r="AL94" s="449"/>
      <c r="AM94" s="449"/>
      <c r="AN94" s="449"/>
      <c r="AO94" s="491">
        <f>ROUND(AG94*AK94,2)</f>
        <v>2.34</v>
      </c>
      <c r="AP94" s="491"/>
      <c r="AQ94" s="491"/>
      <c r="AR94" s="492"/>
    </row>
    <row r="95" spans="3:44" ht="18" customHeight="1">
      <c r="C95" s="444"/>
      <c r="D95" s="445"/>
      <c r="E95" s="445"/>
      <c r="F95" s="493"/>
      <c r="G95" s="493"/>
      <c r="H95" s="493"/>
      <c r="I95" s="493"/>
      <c r="J95" s="493"/>
      <c r="K95" s="493"/>
      <c r="L95" s="493"/>
      <c r="M95" s="493"/>
      <c r="N95" s="493"/>
      <c r="O95" s="493"/>
      <c r="P95" s="493"/>
      <c r="Q95" s="493"/>
      <c r="R95" s="493"/>
      <c r="S95" s="493"/>
      <c r="T95" s="493"/>
      <c r="U95" s="493"/>
      <c r="V95" s="493"/>
      <c r="W95" s="493"/>
      <c r="X95" s="493"/>
      <c r="Y95" s="493"/>
      <c r="Z95" s="493"/>
      <c r="AA95" s="493"/>
      <c r="AB95" s="493"/>
      <c r="AC95" s="425"/>
      <c r="AD95" s="425"/>
      <c r="AE95" s="425"/>
      <c r="AF95" s="425"/>
      <c r="AG95" s="425"/>
      <c r="AH95" s="425"/>
      <c r="AI95" s="425"/>
      <c r="AJ95" s="425"/>
      <c r="AK95" s="449"/>
      <c r="AL95" s="449"/>
      <c r="AM95" s="449"/>
      <c r="AN95" s="449"/>
      <c r="AO95" s="491"/>
      <c r="AP95" s="491"/>
      <c r="AQ95" s="491"/>
      <c r="AR95" s="492"/>
    </row>
    <row r="96" spans="3:44" ht="18" customHeight="1">
      <c r="C96" s="444"/>
      <c r="D96" s="445"/>
      <c r="E96" s="445"/>
      <c r="F96" s="493"/>
      <c r="G96" s="493"/>
      <c r="H96" s="493"/>
      <c r="I96" s="493"/>
      <c r="J96" s="493"/>
      <c r="K96" s="493"/>
      <c r="L96" s="493"/>
      <c r="M96" s="493"/>
      <c r="N96" s="493"/>
      <c r="O96" s="493"/>
      <c r="P96" s="493"/>
      <c r="Q96" s="493"/>
      <c r="R96" s="493"/>
      <c r="S96" s="493"/>
      <c r="T96" s="493"/>
      <c r="U96" s="493"/>
      <c r="V96" s="493"/>
      <c r="W96" s="493"/>
      <c r="X96" s="493"/>
      <c r="Y96" s="493"/>
      <c r="Z96" s="493"/>
      <c r="AA96" s="493"/>
      <c r="AB96" s="493"/>
      <c r="AC96" s="425"/>
      <c r="AD96" s="425"/>
      <c r="AE96" s="425"/>
      <c r="AF96" s="425"/>
      <c r="AG96" s="425"/>
      <c r="AH96" s="425"/>
      <c r="AI96" s="425"/>
      <c r="AJ96" s="425"/>
      <c r="AK96" s="449"/>
      <c r="AL96" s="449"/>
      <c r="AM96" s="449"/>
      <c r="AN96" s="449"/>
      <c r="AO96" s="491"/>
      <c r="AP96" s="491"/>
      <c r="AQ96" s="491"/>
      <c r="AR96" s="492"/>
    </row>
    <row r="97" spans="3:44" ht="18" customHeight="1">
      <c r="C97" s="444"/>
      <c r="D97" s="445"/>
      <c r="E97" s="445"/>
      <c r="F97" s="463"/>
      <c r="G97" s="463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463"/>
      <c r="U97" s="463"/>
      <c r="V97" s="463"/>
      <c r="W97" s="463"/>
      <c r="X97" s="463"/>
      <c r="Y97" s="463"/>
      <c r="Z97" s="463"/>
      <c r="AA97" s="463"/>
      <c r="AB97" s="463"/>
      <c r="AC97" s="425"/>
      <c r="AD97" s="425"/>
      <c r="AE97" s="425"/>
      <c r="AF97" s="425"/>
      <c r="AG97" s="425"/>
      <c r="AH97" s="425"/>
      <c r="AI97" s="425"/>
      <c r="AJ97" s="425"/>
      <c r="AK97" s="425"/>
      <c r="AL97" s="425"/>
      <c r="AM97" s="425"/>
      <c r="AN97" s="425"/>
      <c r="AO97" s="465"/>
      <c r="AP97" s="465"/>
      <c r="AQ97" s="465"/>
      <c r="AR97" s="489"/>
    </row>
    <row r="98" spans="3:44" ht="18" customHeight="1">
      <c r="C98" s="444"/>
      <c r="D98" s="445"/>
      <c r="E98" s="445"/>
      <c r="F98" s="463"/>
      <c r="G98" s="463"/>
      <c r="H98" s="463"/>
      <c r="I98" s="463"/>
      <c r="J98" s="463"/>
      <c r="K98" s="463"/>
      <c r="L98" s="463"/>
      <c r="M98" s="463"/>
      <c r="N98" s="463"/>
      <c r="O98" s="463"/>
      <c r="P98" s="463"/>
      <c r="Q98" s="463"/>
      <c r="R98" s="463"/>
      <c r="S98" s="463"/>
      <c r="T98" s="463"/>
      <c r="U98" s="463"/>
      <c r="V98" s="463"/>
      <c r="W98" s="463"/>
      <c r="X98" s="463"/>
      <c r="Y98" s="463"/>
      <c r="Z98" s="463"/>
      <c r="AA98" s="463"/>
      <c r="AB98" s="463"/>
      <c r="AC98" s="425"/>
      <c r="AD98" s="425"/>
      <c r="AE98" s="425"/>
      <c r="AF98" s="425"/>
      <c r="AG98" s="425"/>
      <c r="AH98" s="425"/>
      <c r="AI98" s="425"/>
      <c r="AJ98" s="425"/>
      <c r="AK98" s="425"/>
      <c r="AL98" s="425"/>
      <c r="AM98" s="425"/>
      <c r="AN98" s="425"/>
      <c r="AO98" s="465"/>
      <c r="AP98" s="465"/>
      <c r="AQ98" s="465"/>
      <c r="AR98" s="489"/>
    </row>
    <row r="99" spans="3:44" ht="18" customHeight="1">
      <c r="C99" s="444"/>
      <c r="D99" s="445"/>
      <c r="E99" s="445"/>
      <c r="F99" s="463"/>
      <c r="G99" s="463"/>
      <c r="H99" s="463"/>
      <c r="I99" s="463"/>
      <c r="J99" s="463"/>
      <c r="K99" s="463"/>
      <c r="L99" s="463"/>
      <c r="M99" s="463"/>
      <c r="N99" s="463"/>
      <c r="O99" s="463"/>
      <c r="P99" s="463"/>
      <c r="Q99" s="463"/>
      <c r="R99" s="463"/>
      <c r="S99" s="463"/>
      <c r="T99" s="463"/>
      <c r="U99" s="463"/>
      <c r="V99" s="463"/>
      <c r="W99" s="463"/>
      <c r="X99" s="463"/>
      <c r="Y99" s="463"/>
      <c r="Z99" s="463"/>
      <c r="AA99" s="463"/>
      <c r="AB99" s="463"/>
      <c r="AC99" s="425"/>
      <c r="AD99" s="425"/>
      <c r="AE99" s="425"/>
      <c r="AF99" s="425"/>
      <c r="AG99" s="425"/>
      <c r="AH99" s="425"/>
      <c r="AI99" s="425"/>
      <c r="AJ99" s="425"/>
      <c r="AK99" s="425"/>
      <c r="AL99" s="425"/>
      <c r="AM99" s="425"/>
      <c r="AN99" s="425"/>
      <c r="AO99" s="465"/>
      <c r="AP99" s="465"/>
      <c r="AQ99" s="465"/>
      <c r="AR99" s="489"/>
    </row>
    <row r="100" spans="3:44" ht="18" customHeight="1">
      <c r="C100" s="444"/>
      <c r="D100" s="445"/>
      <c r="E100" s="445"/>
      <c r="F100" s="463"/>
      <c r="G100" s="463"/>
      <c r="H100" s="463"/>
      <c r="I100" s="463"/>
      <c r="J100" s="463"/>
      <c r="K100" s="463"/>
      <c r="L100" s="463"/>
      <c r="M100" s="463"/>
      <c r="N100" s="463"/>
      <c r="O100" s="463"/>
      <c r="P100" s="463"/>
      <c r="Q100" s="463"/>
      <c r="R100" s="463"/>
      <c r="S100" s="463"/>
      <c r="T100" s="463"/>
      <c r="U100" s="463"/>
      <c r="V100" s="463"/>
      <c r="W100" s="463"/>
      <c r="X100" s="463"/>
      <c r="Y100" s="463"/>
      <c r="Z100" s="463"/>
      <c r="AA100" s="463"/>
      <c r="AB100" s="463"/>
      <c r="AC100" s="425"/>
      <c r="AD100" s="425"/>
      <c r="AE100" s="425"/>
      <c r="AF100" s="425"/>
      <c r="AG100" s="425"/>
      <c r="AH100" s="425"/>
      <c r="AI100" s="425"/>
      <c r="AJ100" s="425"/>
      <c r="AK100" s="425"/>
      <c r="AL100" s="425"/>
      <c r="AM100" s="425"/>
      <c r="AN100" s="425"/>
      <c r="AO100" s="465"/>
      <c r="AP100" s="465"/>
      <c r="AQ100" s="465"/>
      <c r="AR100" s="489"/>
    </row>
    <row r="101" spans="3:44" ht="18" customHeight="1">
      <c r="C101" s="444"/>
      <c r="D101" s="445"/>
      <c r="E101" s="445"/>
      <c r="F101" s="463"/>
      <c r="G101" s="463"/>
      <c r="H101" s="463"/>
      <c r="I101" s="463"/>
      <c r="J101" s="463"/>
      <c r="K101" s="463"/>
      <c r="L101" s="463"/>
      <c r="M101" s="463"/>
      <c r="N101" s="463"/>
      <c r="O101" s="463"/>
      <c r="P101" s="463"/>
      <c r="Q101" s="463"/>
      <c r="R101" s="463"/>
      <c r="S101" s="463"/>
      <c r="T101" s="463"/>
      <c r="U101" s="463"/>
      <c r="V101" s="463"/>
      <c r="W101" s="463"/>
      <c r="X101" s="463"/>
      <c r="Y101" s="463"/>
      <c r="Z101" s="463"/>
      <c r="AA101" s="463"/>
      <c r="AB101" s="463"/>
      <c r="AC101" s="425"/>
      <c r="AD101" s="425"/>
      <c r="AE101" s="425"/>
      <c r="AF101" s="425"/>
      <c r="AG101" s="425"/>
      <c r="AH101" s="425"/>
      <c r="AI101" s="425"/>
      <c r="AJ101" s="425"/>
      <c r="AK101" s="425"/>
      <c r="AL101" s="425"/>
      <c r="AM101" s="425"/>
      <c r="AN101" s="425"/>
      <c r="AO101" s="465"/>
      <c r="AP101" s="465"/>
      <c r="AQ101" s="465"/>
      <c r="AR101" s="489"/>
    </row>
    <row r="102" spans="3:44" ht="18" customHeight="1">
      <c r="C102" s="480"/>
      <c r="D102" s="481"/>
      <c r="E102" s="481"/>
      <c r="F102" s="481"/>
      <c r="G102" s="481"/>
      <c r="H102" s="481"/>
      <c r="I102" s="481"/>
      <c r="J102" s="481"/>
      <c r="K102" s="481"/>
      <c r="L102" s="481"/>
      <c r="M102" s="481"/>
      <c r="N102" s="481"/>
      <c r="O102" s="481"/>
      <c r="P102" s="481"/>
      <c r="Q102" s="481"/>
      <c r="R102" s="481"/>
      <c r="S102" s="481"/>
      <c r="T102" s="481"/>
      <c r="U102" s="481"/>
      <c r="V102" s="481"/>
      <c r="W102" s="481"/>
      <c r="X102" s="482"/>
      <c r="Y102" s="483" t="s">
        <v>78</v>
      </c>
      <c r="Z102" s="484"/>
      <c r="AA102" s="484"/>
      <c r="AB102" s="484"/>
      <c r="AC102" s="484"/>
      <c r="AD102" s="484"/>
      <c r="AE102" s="484"/>
      <c r="AF102" s="484"/>
      <c r="AG102" s="530">
        <v>0.2051</v>
      </c>
      <c r="AH102" s="530"/>
      <c r="AI102" s="530"/>
      <c r="AJ102" s="530"/>
      <c r="AK102" s="465">
        <f>SUM(AO94:AR101)</f>
        <v>2.34</v>
      </c>
      <c r="AL102" s="486"/>
      <c r="AM102" s="486"/>
      <c r="AN102" s="486"/>
      <c r="AO102" s="487">
        <f>ROUND(AG102*AK102,2)</f>
        <v>0.48</v>
      </c>
      <c r="AP102" s="487"/>
      <c r="AQ102" s="487"/>
      <c r="AR102" s="488"/>
    </row>
    <row r="103" spans="3:44" ht="18" customHeight="1">
      <c r="C103" s="427"/>
      <c r="D103" s="428"/>
      <c r="E103" s="428"/>
      <c r="F103" s="428"/>
      <c r="G103" s="428"/>
      <c r="H103" s="428"/>
      <c r="I103" s="428"/>
      <c r="J103" s="428"/>
      <c r="K103" s="428"/>
      <c r="L103" s="428"/>
      <c r="M103" s="428"/>
      <c r="N103" s="428"/>
      <c r="O103" s="428"/>
      <c r="P103" s="428"/>
      <c r="Q103" s="428"/>
      <c r="R103" s="428"/>
      <c r="S103" s="428"/>
      <c r="T103" s="428"/>
      <c r="U103" s="428"/>
      <c r="V103" s="428"/>
      <c r="W103" s="428"/>
      <c r="X103" s="429"/>
      <c r="Y103" s="430" t="s">
        <v>79</v>
      </c>
      <c r="Z103" s="431"/>
      <c r="AA103" s="431"/>
      <c r="AB103" s="431"/>
      <c r="AC103" s="431"/>
      <c r="AD103" s="431"/>
      <c r="AE103" s="431"/>
      <c r="AF103" s="431"/>
      <c r="AG103" s="431"/>
      <c r="AH103" s="431"/>
      <c r="AI103" s="431"/>
      <c r="AJ103" s="431"/>
      <c r="AK103" s="431"/>
      <c r="AL103" s="431"/>
      <c r="AM103" s="431"/>
      <c r="AN103" s="431"/>
      <c r="AO103" s="432">
        <f>SUM(AO94:AR102)</f>
        <v>2.82</v>
      </c>
      <c r="AP103" s="432"/>
      <c r="AQ103" s="432"/>
      <c r="AR103" s="433"/>
    </row>
    <row r="105" spans="3:44" ht="18" customHeight="1">
      <c r="C105" s="469"/>
      <c r="D105" s="470"/>
      <c r="E105" s="470"/>
      <c r="F105" s="470"/>
      <c r="G105" s="470"/>
      <c r="H105" s="470"/>
      <c r="I105" s="470"/>
      <c r="J105" s="470"/>
      <c r="K105" s="470"/>
      <c r="L105" s="470"/>
      <c r="M105" s="470"/>
      <c r="N105" s="470"/>
      <c r="O105" s="470"/>
      <c r="P105" s="470"/>
      <c r="Q105" s="470"/>
      <c r="R105" s="470"/>
      <c r="S105" s="470"/>
      <c r="T105" s="470"/>
      <c r="U105" s="470"/>
      <c r="V105" s="470"/>
      <c r="W105" s="470"/>
      <c r="X105" s="471"/>
      <c r="Y105" s="472" t="s">
        <v>80</v>
      </c>
      <c r="Z105" s="472"/>
      <c r="AA105" s="472"/>
      <c r="AB105" s="472"/>
      <c r="AC105" s="472"/>
      <c r="AD105" s="472"/>
      <c r="AE105" s="472"/>
      <c r="AF105" s="472"/>
      <c r="AG105" s="472"/>
      <c r="AH105" s="472"/>
      <c r="AI105" s="472"/>
      <c r="AJ105" s="472"/>
      <c r="AK105" s="472"/>
      <c r="AL105" s="472"/>
      <c r="AM105" s="472"/>
      <c r="AN105" s="472"/>
      <c r="AO105" s="473">
        <f>AO90+AO103</f>
        <v>2.82</v>
      </c>
      <c r="AP105" s="474"/>
      <c r="AQ105" s="474"/>
      <c r="AR105" s="475"/>
    </row>
    <row r="106" spans="3:44" ht="18" customHeight="1">
      <c r="C106" s="476" t="s">
        <v>81</v>
      </c>
      <c r="D106" s="431"/>
      <c r="E106" s="431"/>
      <c r="F106" s="431"/>
      <c r="G106" s="431"/>
      <c r="H106" s="431"/>
      <c r="I106" s="431"/>
      <c r="J106" s="431"/>
      <c r="K106" s="431"/>
      <c r="L106" s="431"/>
      <c r="M106" s="431"/>
      <c r="N106" s="431"/>
      <c r="O106" s="431"/>
      <c r="P106" s="431"/>
      <c r="Q106" s="432">
        <v>1</v>
      </c>
      <c r="R106" s="432"/>
      <c r="S106" s="432"/>
      <c r="T106" s="432"/>
      <c r="U106" s="477"/>
      <c r="V106" s="430" t="s">
        <v>246</v>
      </c>
      <c r="W106" s="431"/>
      <c r="X106" s="431"/>
      <c r="Y106" s="472" t="s">
        <v>82</v>
      </c>
      <c r="Z106" s="472"/>
      <c r="AA106" s="472"/>
      <c r="AB106" s="472"/>
      <c r="AC106" s="472"/>
      <c r="AD106" s="472"/>
      <c r="AE106" s="472"/>
      <c r="AF106" s="472"/>
      <c r="AG106" s="472"/>
      <c r="AH106" s="472"/>
      <c r="AI106" s="472"/>
      <c r="AJ106" s="472"/>
      <c r="AK106" s="472"/>
      <c r="AL106" s="472"/>
      <c r="AM106" s="472"/>
      <c r="AN106" s="472"/>
      <c r="AO106" s="478">
        <f>ROUND(AO105/Q106,2)</f>
        <v>2.82</v>
      </c>
      <c r="AP106" s="478"/>
      <c r="AQ106" s="478"/>
      <c r="AR106" s="479"/>
    </row>
    <row r="108" spans="3:44" ht="18" customHeight="1">
      <c r="C108" s="461" t="s">
        <v>43</v>
      </c>
      <c r="D108" s="451"/>
      <c r="E108" s="451"/>
      <c r="F108" s="451" t="s">
        <v>83</v>
      </c>
      <c r="G108" s="451"/>
      <c r="H108" s="451"/>
      <c r="I108" s="451"/>
      <c r="J108" s="451"/>
      <c r="K108" s="451"/>
      <c r="L108" s="451"/>
      <c r="M108" s="451"/>
      <c r="N108" s="451"/>
      <c r="O108" s="451"/>
      <c r="P108" s="451"/>
      <c r="Q108" s="451"/>
      <c r="R108" s="451"/>
      <c r="S108" s="451"/>
      <c r="T108" s="451"/>
      <c r="U108" s="451"/>
      <c r="V108" s="451"/>
      <c r="W108" s="451"/>
      <c r="X108" s="451"/>
      <c r="Y108" s="451"/>
      <c r="Z108" s="451"/>
      <c r="AA108" s="451"/>
      <c r="AB108" s="451"/>
      <c r="AC108" s="451" t="s">
        <v>84</v>
      </c>
      <c r="AD108" s="451"/>
      <c r="AE108" s="451"/>
      <c r="AF108" s="451"/>
      <c r="AG108" s="451" t="s">
        <v>85</v>
      </c>
      <c r="AH108" s="451"/>
      <c r="AI108" s="451"/>
      <c r="AJ108" s="451"/>
      <c r="AK108" s="451" t="s">
        <v>86</v>
      </c>
      <c r="AL108" s="451"/>
      <c r="AM108" s="451"/>
      <c r="AN108" s="451"/>
      <c r="AO108" s="451" t="s">
        <v>87</v>
      </c>
      <c r="AP108" s="451"/>
      <c r="AQ108" s="451"/>
      <c r="AR108" s="453"/>
    </row>
    <row r="109" spans="3:44" ht="18" customHeight="1">
      <c r="C109" s="462"/>
      <c r="D109" s="452"/>
      <c r="E109" s="452"/>
      <c r="F109" s="452"/>
      <c r="G109" s="452"/>
      <c r="H109" s="452"/>
      <c r="I109" s="452"/>
      <c r="J109" s="452"/>
      <c r="K109" s="452"/>
      <c r="L109" s="452"/>
      <c r="M109" s="452"/>
      <c r="N109" s="452"/>
      <c r="O109" s="452"/>
      <c r="P109" s="452"/>
      <c r="Q109" s="452"/>
      <c r="R109" s="452"/>
      <c r="S109" s="452"/>
      <c r="T109" s="452"/>
      <c r="U109" s="452"/>
      <c r="V109" s="452"/>
      <c r="W109" s="452"/>
      <c r="X109" s="452"/>
      <c r="Y109" s="452"/>
      <c r="Z109" s="452"/>
      <c r="AA109" s="452"/>
      <c r="AB109" s="452"/>
      <c r="AC109" s="452"/>
      <c r="AD109" s="452"/>
      <c r="AE109" s="452"/>
      <c r="AF109" s="452"/>
      <c r="AG109" s="452"/>
      <c r="AH109" s="452"/>
      <c r="AI109" s="452"/>
      <c r="AJ109" s="452"/>
      <c r="AK109" s="452"/>
      <c r="AL109" s="452"/>
      <c r="AM109" s="452"/>
      <c r="AN109" s="452"/>
      <c r="AO109" s="452"/>
      <c r="AP109" s="452"/>
      <c r="AQ109" s="452"/>
      <c r="AR109" s="454"/>
    </row>
    <row r="110" spans="3:44" ht="18" customHeight="1">
      <c r="C110" s="455" t="s">
        <v>1401</v>
      </c>
      <c r="D110" s="456"/>
      <c r="E110" s="456"/>
      <c r="F110" s="493" t="s">
        <v>125</v>
      </c>
      <c r="G110" s="493"/>
      <c r="H110" s="493"/>
      <c r="I110" s="493"/>
      <c r="J110" s="493"/>
      <c r="K110" s="493"/>
      <c r="L110" s="493"/>
      <c r="M110" s="493"/>
      <c r="N110" s="493"/>
      <c r="O110" s="493"/>
      <c r="P110" s="493"/>
      <c r="Q110" s="493"/>
      <c r="R110" s="493"/>
      <c r="S110" s="493"/>
      <c r="T110" s="493"/>
      <c r="U110" s="493"/>
      <c r="V110" s="493"/>
      <c r="W110" s="493"/>
      <c r="X110" s="493"/>
      <c r="Y110" s="493"/>
      <c r="Z110" s="493"/>
      <c r="AA110" s="493"/>
      <c r="AB110" s="493"/>
      <c r="AC110" s="531" t="s">
        <v>126</v>
      </c>
      <c r="AD110" s="531"/>
      <c r="AE110" s="531"/>
      <c r="AF110" s="531"/>
      <c r="AG110" s="466">
        <f>VLOOKUP(C110,[4]MATERIAL!A$1:D$65536,4,FALSE)</f>
        <v>72</v>
      </c>
      <c r="AH110" s="467"/>
      <c r="AI110" s="467"/>
      <c r="AJ110" s="468"/>
      <c r="AK110" s="460">
        <v>0.39</v>
      </c>
      <c r="AL110" s="460"/>
      <c r="AM110" s="460"/>
      <c r="AN110" s="460"/>
      <c r="AO110" s="449">
        <f>ROUND(AG110*AK110,2)</f>
        <v>28.08</v>
      </c>
      <c r="AP110" s="449"/>
      <c r="AQ110" s="449"/>
      <c r="AR110" s="450"/>
    </row>
    <row r="111" spans="3:44" ht="18" customHeight="1">
      <c r="C111" s="444" t="s">
        <v>1402</v>
      </c>
      <c r="D111" s="445"/>
      <c r="E111" s="445"/>
      <c r="F111" s="493" t="s">
        <v>127</v>
      </c>
      <c r="G111" s="493"/>
      <c r="H111" s="493"/>
      <c r="I111" s="493"/>
      <c r="J111" s="493"/>
      <c r="K111" s="493"/>
      <c r="L111" s="493"/>
      <c r="M111" s="493"/>
      <c r="N111" s="493"/>
      <c r="O111" s="493"/>
      <c r="P111" s="493"/>
      <c r="Q111" s="493"/>
      <c r="R111" s="493"/>
      <c r="S111" s="493"/>
      <c r="T111" s="493"/>
      <c r="U111" s="493"/>
      <c r="V111" s="493"/>
      <c r="W111" s="493"/>
      <c r="X111" s="493"/>
      <c r="Y111" s="493"/>
      <c r="Z111" s="493"/>
      <c r="AA111" s="493"/>
      <c r="AB111" s="493"/>
      <c r="AC111" s="464" t="s">
        <v>309</v>
      </c>
      <c r="AD111" s="464"/>
      <c r="AE111" s="464"/>
      <c r="AF111" s="464"/>
      <c r="AG111" s="466">
        <f>VLOOKUP(C111,[4]MATERIAL!A$1:D$65536,4,FALSE)</f>
        <v>12</v>
      </c>
      <c r="AH111" s="467"/>
      <c r="AI111" s="467"/>
      <c r="AJ111" s="468"/>
      <c r="AK111" s="424">
        <v>0.15</v>
      </c>
      <c r="AL111" s="424"/>
      <c r="AM111" s="424"/>
      <c r="AN111" s="424"/>
      <c r="AO111" s="449">
        <f>ROUND(AG111*AK111,2)</f>
        <v>1.8</v>
      </c>
      <c r="AP111" s="449"/>
      <c r="AQ111" s="449"/>
      <c r="AR111" s="450"/>
    </row>
    <row r="112" spans="3:44" ht="18" customHeight="1">
      <c r="C112" s="444"/>
      <c r="D112" s="445"/>
      <c r="E112" s="445"/>
      <c r="F112" s="493"/>
      <c r="G112" s="493"/>
      <c r="H112" s="493"/>
      <c r="I112" s="493"/>
      <c r="J112" s="493"/>
      <c r="K112" s="493"/>
      <c r="L112" s="493"/>
      <c r="M112" s="493"/>
      <c r="N112" s="493"/>
      <c r="O112" s="493"/>
      <c r="P112" s="493"/>
      <c r="Q112" s="493"/>
      <c r="R112" s="493"/>
      <c r="S112" s="493"/>
      <c r="T112" s="493"/>
      <c r="U112" s="493"/>
      <c r="V112" s="493"/>
      <c r="W112" s="493"/>
      <c r="X112" s="493"/>
      <c r="Y112" s="493"/>
      <c r="Z112" s="493"/>
      <c r="AA112" s="493"/>
      <c r="AB112" s="493"/>
      <c r="AC112" s="464"/>
      <c r="AD112" s="464"/>
      <c r="AE112" s="464"/>
      <c r="AF112" s="464"/>
      <c r="AG112" s="491"/>
      <c r="AH112" s="491"/>
      <c r="AI112" s="491"/>
      <c r="AJ112" s="491"/>
      <c r="AK112" s="424"/>
      <c r="AL112" s="424"/>
      <c r="AM112" s="424"/>
      <c r="AN112" s="424"/>
      <c r="AO112" s="425"/>
      <c r="AP112" s="425"/>
      <c r="AQ112" s="425"/>
      <c r="AR112" s="426"/>
    </row>
    <row r="113" spans="3:44" ht="18" customHeight="1">
      <c r="C113" s="444"/>
      <c r="D113" s="445"/>
      <c r="E113" s="445"/>
      <c r="F113" s="493"/>
      <c r="G113" s="493"/>
      <c r="H113" s="493"/>
      <c r="I113" s="493"/>
      <c r="J113" s="493"/>
      <c r="K113" s="493"/>
      <c r="L113" s="493"/>
      <c r="M113" s="493"/>
      <c r="N113" s="493"/>
      <c r="O113" s="493"/>
      <c r="P113" s="493"/>
      <c r="Q113" s="493"/>
      <c r="R113" s="493"/>
      <c r="S113" s="493"/>
      <c r="T113" s="493"/>
      <c r="U113" s="493"/>
      <c r="V113" s="493"/>
      <c r="W113" s="493"/>
      <c r="X113" s="493"/>
      <c r="Y113" s="493"/>
      <c r="Z113" s="493"/>
      <c r="AA113" s="493"/>
      <c r="AB113" s="493"/>
      <c r="AC113" s="464"/>
      <c r="AD113" s="464"/>
      <c r="AE113" s="464"/>
      <c r="AF113" s="464"/>
      <c r="AG113" s="491"/>
      <c r="AH113" s="491"/>
      <c r="AI113" s="491"/>
      <c r="AJ113" s="491"/>
      <c r="AK113" s="424"/>
      <c r="AL113" s="424"/>
      <c r="AM113" s="424"/>
      <c r="AN113" s="424"/>
      <c r="AO113" s="425"/>
      <c r="AP113" s="425"/>
      <c r="AQ113" s="425"/>
      <c r="AR113" s="426"/>
    </row>
    <row r="114" spans="3:44" ht="18" customHeight="1">
      <c r="C114" s="444"/>
      <c r="D114" s="445"/>
      <c r="E114" s="445"/>
      <c r="F114" s="493"/>
      <c r="G114" s="493"/>
      <c r="H114" s="493"/>
      <c r="I114" s="493"/>
      <c r="J114" s="493"/>
      <c r="K114" s="493"/>
      <c r="L114" s="493"/>
      <c r="M114" s="493"/>
      <c r="N114" s="493"/>
      <c r="O114" s="493"/>
      <c r="P114" s="493"/>
      <c r="Q114" s="493"/>
      <c r="R114" s="493"/>
      <c r="S114" s="493"/>
      <c r="T114" s="493"/>
      <c r="U114" s="493"/>
      <c r="V114" s="493"/>
      <c r="W114" s="493"/>
      <c r="X114" s="493"/>
      <c r="Y114" s="493"/>
      <c r="Z114" s="493"/>
      <c r="AA114" s="493"/>
      <c r="AB114" s="493"/>
      <c r="AC114" s="464"/>
      <c r="AD114" s="464"/>
      <c r="AE114" s="464"/>
      <c r="AF114" s="464"/>
      <c r="AG114" s="491"/>
      <c r="AH114" s="491"/>
      <c r="AI114" s="491"/>
      <c r="AJ114" s="491"/>
      <c r="AK114" s="424"/>
      <c r="AL114" s="424"/>
      <c r="AM114" s="424"/>
      <c r="AN114" s="424"/>
      <c r="AO114" s="425"/>
      <c r="AP114" s="425"/>
      <c r="AQ114" s="425"/>
      <c r="AR114" s="426"/>
    </row>
    <row r="115" spans="3:44" ht="18" customHeight="1">
      <c r="C115" s="444"/>
      <c r="D115" s="445"/>
      <c r="E115" s="445"/>
      <c r="F115" s="493"/>
      <c r="G115" s="493"/>
      <c r="H115" s="493"/>
      <c r="I115" s="493"/>
      <c r="J115" s="493"/>
      <c r="K115" s="493"/>
      <c r="L115" s="493"/>
      <c r="M115" s="493"/>
      <c r="N115" s="493"/>
      <c r="O115" s="493"/>
      <c r="P115" s="493"/>
      <c r="Q115" s="493"/>
      <c r="R115" s="493"/>
      <c r="S115" s="493"/>
      <c r="T115" s="493"/>
      <c r="U115" s="493"/>
      <c r="V115" s="493"/>
      <c r="W115" s="493"/>
      <c r="X115" s="493"/>
      <c r="Y115" s="493"/>
      <c r="Z115" s="493"/>
      <c r="AA115" s="493"/>
      <c r="AB115" s="493"/>
      <c r="AC115" s="464"/>
      <c r="AD115" s="464"/>
      <c r="AE115" s="464"/>
      <c r="AF115" s="464"/>
      <c r="AG115" s="491"/>
      <c r="AH115" s="491"/>
      <c r="AI115" s="491"/>
      <c r="AJ115" s="491"/>
      <c r="AK115" s="424"/>
      <c r="AL115" s="424"/>
      <c r="AM115" s="424"/>
      <c r="AN115" s="424"/>
      <c r="AO115" s="425"/>
      <c r="AP115" s="425"/>
      <c r="AQ115" s="425"/>
      <c r="AR115" s="426"/>
    </row>
    <row r="116" spans="3:44" ht="18" customHeight="1">
      <c r="C116" s="444"/>
      <c r="D116" s="445"/>
      <c r="E116" s="445"/>
      <c r="F116" s="493"/>
      <c r="G116" s="493"/>
      <c r="H116" s="493"/>
      <c r="I116" s="493"/>
      <c r="J116" s="493"/>
      <c r="K116" s="493"/>
      <c r="L116" s="493"/>
      <c r="M116" s="493"/>
      <c r="N116" s="493"/>
      <c r="O116" s="493"/>
      <c r="P116" s="493"/>
      <c r="Q116" s="493"/>
      <c r="R116" s="493"/>
      <c r="S116" s="493"/>
      <c r="T116" s="493"/>
      <c r="U116" s="493"/>
      <c r="V116" s="493"/>
      <c r="W116" s="493"/>
      <c r="X116" s="493"/>
      <c r="Y116" s="493"/>
      <c r="Z116" s="493"/>
      <c r="AA116" s="493"/>
      <c r="AB116" s="493"/>
      <c r="AC116" s="464"/>
      <c r="AD116" s="464"/>
      <c r="AE116" s="464"/>
      <c r="AF116" s="464"/>
      <c r="AG116" s="491"/>
      <c r="AH116" s="491"/>
      <c r="AI116" s="491"/>
      <c r="AJ116" s="491"/>
      <c r="AK116" s="424"/>
      <c r="AL116" s="424"/>
      <c r="AM116" s="424"/>
      <c r="AN116" s="424"/>
      <c r="AO116" s="425"/>
      <c r="AP116" s="425"/>
      <c r="AQ116" s="425"/>
      <c r="AR116" s="426"/>
    </row>
    <row r="117" spans="3:44" ht="18" customHeight="1">
      <c r="C117" s="444"/>
      <c r="D117" s="445"/>
      <c r="E117" s="445"/>
      <c r="F117" s="493"/>
      <c r="G117" s="493"/>
      <c r="H117" s="493"/>
      <c r="I117" s="493"/>
      <c r="J117" s="493"/>
      <c r="K117" s="493"/>
      <c r="L117" s="493"/>
      <c r="M117" s="493"/>
      <c r="N117" s="493"/>
      <c r="O117" s="493"/>
      <c r="P117" s="493"/>
      <c r="Q117" s="493"/>
      <c r="R117" s="493"/>
      <c r="S117" s="493"/>
      <c r="T117" s="493"/>
      <c r="U117" s="493"/>
      <c r="V117" s="493"/>
      <c r="W117" s="493"/>
      <c r="X117" s="493"/>
      <c r="Y117" s="493"/>
      <c r="Z117" s="493"/>
      <c r="AA117" s="493"/>
      <c r="AB117" s="493"/>
      <c r="AC117" s="464"/>
      <c r="AD117" s="464"/>
      <c r="AE117" s="464"/>
      <c r="AF117" s="464"/>
      <c r="AG117" s="491"/>
      <c r="AH117" s="491"/>
      <c r="AI117" s="491"/>
      <c r="AJ117" s="491"/>
      <c r="AK117" s="424"/>
      <c r="AL117" s="424"/>
      <c r="AM117" s="424"/>
      <c r="AN117" s="424"/>
      <c r="AO117" s="425"/>
      <c r="AP117" s="425"/>
      <c r="AQ117" s="425"/>
      <c r="AR117" s="426"/>
    </row>
    <row r="118" spans="3:44" ht="18" customHeight="1">
      <c r="C118" s="444"/>
      <c r="D118" s="445"/>
      <c r="E118" s="445"/>
      <c r="F118" s="493"/>
      <c r="G118" s="493"/>
      <c r="H118" s="493"/>
      <c r="I118" s="493"/>
      <c r="J118" s="493"/>
      <c r="K118" s="493"/>
      <c r="L118" s="493"/>
      <c r="M118" s="493"/>
      <c r="N118" s="493"/>
      <c r="O118" s="493"/>
      <c r="P118" s="493"/>
      <c r="Q118" s="493"/>
      <c r="R118" s="493"/>
      <c r="S118" s="493"/>
      <c r="T118" s="493"/>
      <c r="U118" s="493"/>
      <c r="V118" s="493"/>
      <c r="W118" s="493"/>
      <c r="X118" s="493"/>
      <c r="Y118" s="493"/>
      <c r="Z118" s="493"/>
      <c r="AA118" s="493"/>
      <c r="AB118" s="493"/>
      <c r="AC118" s="464"/>
      <c r="AD118" s="464"/>
      <c r="AE118" s="464"/>
      <c r="AF118" s="464"/>
      <c r="AG118" s="491"/>
      <c r="AH118" s="491"/>
      <c r="AI118" s="491"/>
      <c r="AJ118" s="491"/>
      <c r="AK118" s="424"/>
      <c r="AL118" s="424"/>
      <c r="AM118" s="424"/>
      <c r="AN118" s="424"/>
      <c r="AO118" s="425"/>
      <c r="AP118" s="425"/>
      <c r="AQ118" s="425"/>
      <c r="AR118" s="426"/>
    </row>
    <row r="119" spans="3:44" ht="18" customHeight="1">
      <c r="C119" s="444"/>
      <c r="D119" s="445"/>
      <c r="E119" s="445"/>
      <c r="F119" s="493"/>
      <c r="G119" s="493"/>
      <c r="H119" s="493"/>
      <c r="I119" s="493"/>
      <c r="J119" s="493"/>
      <c r="K119" s="493"/>
      <c r="L119" s="493"/>
      <c r="M119" s="493"/>
      <c r="N119" s="493"/>
      <c r="O119" s="493"/>
      <c r="P119" s="493"/>
      <c r="Q119" s="493"/>
      <c r="R119" s="493"/>
      <c r="S119" s="493"/>
      <c r="T119" s="493"/>
      <c r="U119" s="493"/>
      <c r="V119" s="493"/>
      <c r="W119" s="493"/>
      <c r="X119" s="493"/>
      <c r="Y119" s="493"/>
      <c r="Z119" s="493"/>
      <c r="AA119" s="493"/>
      <c r="AB119" s="493"/>
      <c r="AC119" s="464"/>
      <c r="AD119" s="464"/>
      <c r="AE119" s="464"/>
      <c r="AF119" s="464"/>
      <c r="AG119" s="491"/>
      <c r="AH119" s="491"/>
      <c r="AI119" s="491"/>
      <c r="AJ119" s="491"/>
      <c r="AK119" s="424"/>
      <c r="AL119" s="424"/>
      <c r="AM119" s="424"/>
      <c r="AN119" s="424"/>
      <c r="AO119" s="425"/>
      <c r="AP119" s="425"/>
      <c r="AQ119" s="425"/>
      <c r="AR119" s="426"/>
    </row>
    <row r="120" spans="3:44" ht="18" customHeight="1">
      <c r="C120" s="427"/>
      <c r="D120" s="428"/>
      <c r="E120" s="428"/>
      <c r="F120" s="428"/>
      <c r="G120" s="428"/>
      <c r="H120" s="428"/>
      <c r="I120" s="428"/>
      <c r="J120" s="428"/>
      <c r="K120" s="428"/>
      <c r="L120" s="428"/>
      <c r="M120" s="428"/>
      <c r="N120" s="428"/>
      <c r="O120" s="428"/>
      <c r="P120" s="428"/>
      <c r="Q120" s="428"/>
      <c r="R120" s="428"/>
      <c r="S120" s="428"/>
      <c r="T120" s="428"/>
      <c r="U120" s="428"/>
      <c r="V120" s="428"/>
      <c r="W120" s="428"/>
      <c r="X120" s="429"/>
      <c r="Y120" s="430" t="s">
        <v>88</v>
      </c>
      <c r="Z120" s="431"/>
      <c r="AA120" s="431"/>
      <c r="AB120" s="431"/>
      <c r="AC120" s="431"/>
      <c r="AD120" s="431"/>
      <c r="AE120" s="431"/>
      <c r="AF120" s="431"/>
      <c r="AG120" s="431"/>
      <c r="AH120" s="431"/>
      <c r="AI120" s="431"/>
      <c r="AJ120" s="431"/>
      <c r="AK120" s="431"/>
      <c r="AL120" s="431"/>
      <c r="AM120" s="431"/>
      <c r="AN120" s="431"/>
      <c r="AO120" s="432">
        <f>SUM(AO110:AR119)</f>
        <v>29.88</v>
      </c>
      <c r="AP120" s="432"/>
      <c r="AQ120" s="432"/>
      <c r="AR120" s="433"/>
    </row>
    <row r="122" spans="3:44" ht="18" customHeight="1">
      <c r="C122" s="461" t="s">
        <v>43</v>
      </c>
      <c r="D122" s="451"/>
      <c r="E122" s="451"/>
      <c r="F122" s="451" t="s">
        <v>89</v>
      </c>
      <c r="G122" s="451"/>
      <c r="H122" s="451"/>
      <c r="I122" s="451"/>
      <c r="J122" s="451"/>
      <c r="K122" s="451"/>
      <c r="L122" s="451"/>
      <c r="M122" s="451"/>
      <c r="N122" s="451"/>
      <c r="O122" s="451"/>
      <c r="P122" s="451"/>
      <c r="Q122" s="451"/>
      <c r="R122" s="451"/>
      <c r="S122" s="451" t="s">
        <v>90</v>
      </c>
      <c r="T122" s="451"/>
      <c r="U122" s="451"/>
      <c r="V122" s="451" t="s">
        <v>91</v>
      </c>
      <c r="W122" s="451"/>
      <c r="X122" s="451"/>
      <c r="Y122" s="451" t="s">
        <v>92</v>
      </c>
      <c r="Z122" s="451"/>
      <c r="AA122" s="451"/>
      <c r="AB122" s="451"/>
      <c r="AC122" s="451"/>
      <c r="AD122" s="451"/>
      <c r="AE122" s="451" t="s">
        <v>93</v>
      </c>
      <c r="AF122" s="451"/>
      <c r="AG122" s="451"/>
      <c r="AH122" s="451" t="s">
        <v>94</v>
      </c>
      <c r="AI122" s="451"/>
      <c r="AJ122" s="451"/>
      <c r="AK122" s="451" t="s">
        <v>86</v>
      </c>
      <c r="AL122" s="451"/>
      <c r="AM122" s="451"/>
      <c r="AN122" s="451"/>
      <c r="AO122" s="451" t="s">
        <v>87</v>
      </c>
      <c r="AP122" s="451"/>
      <c r="AQ122" s="451"/>
      <c r="AR122" s="453"/>
    </row>
    <row r="123" spans="3:44" ht="18" customHeight="1">
      <c r="C123" s="462"/>
      <c r="D123" s="452"/>
      <c r="E123" s="452"/>
      <c r="F123" s="452"/>
      <c r="G123" s="452"/>
      <c r="H123" s="452"/>
      <c r="I123" s="452"/>
      <c r="J123" s="452"/>
      <c r="K123" s="452"/>
      <c r="L123" s="452"/>
      <c r="M123" s="452"/>
      <c r="N123" s="452"/>
      <c r="O123" s="452"/>
      <c r="P123" s="452"/>
      <c r="Q123" s="452"/>
      <c r="R123" s="452"/>
      <c r="S123" s="452"/>
      <c r="T123" s="452"/>
      <c r="U123" s="452"/>
      <c r="V123" s="452"/>
      <c r="W123" s="452"/>
      <c r="X123" s="452"/>
      <c r="Y123" s="452"/>
      <c r="Z123" s="452"/>
      <c r="AA123" s="452"/>
      <c r="AB123" s="452"/>
      <c r="AC123" s="452"/>
      <c r="AD123" s="452"/>
      <c r="AE123" s="452"/>
      <c r="AF123" s="452"/>
      <c r="AG123" s="452"/>
      <c r="AH123" s="452"/>
      <c r="AI123" s="452"/>
      <c r="AJ123" s="452"/>
      <c r="AK123" s="452"/>
      <c r="AL123" s="452"/>
      <c r="AM123" s="452"/>
      <c r="AN123" s="452"/>
      <c r="AO123" s="452"/>
      <c r="AP123" s="452"/>
      <c r="AQ123" s="452"/>
      <c r="AR123" s="454"/>
    </row>
    <row r="124" spans="3:44" ht="18" customHeight="1">
      <c r="C124" s="532"/>
      <c r="D124" s="533"/>
      <c r="E124" s="534"/>
      <c r="F124" s="457"/>
      <c r="G124" s="457"/>
      <c r="H124" s="457"/>
      <c r="I124" s="457"/>
      <c r="J124" s="457"/>
      <c r="K124" s="457"/>
      <c r="L124" s="457"/>
      <c r="M124" s="457"/>
      <c r="N124" s="457"/>
      <c r="O124" s="457"/>
      <c r="P124" s="457"/>
      <c r="Q124" s="457"/>
      <c r="R124" s="457"/>
      <c r="S124" s="458"/>
      <c r="T124" s="458"/>
      <c r="U124" s="458"/>
      <c r="V124" s="458"/>
      <c r="W124" s="458"/>
      <c r="X124" s="458"/>
      <c r="Y124" s="459"/>
      <c r="Z124" s="459"/>
      <c r="AA124" s="459"/>
      <c r="AB124" s="459"/>
      <c r="AC124" s="459"/>
      <c r="AD124" s="459"/>
      <c r="AE124" s="449"/>
      <c r="AF124" s="449"/>
      <c r="AG124" s="449"/>
      <c r="AH124" s="449"/>
      <c r="AI124" s="449"/>
      <c r="AJ124" s="449"/>
      <c r="AK124" s="460"/>
      <c r="AL124" s="460"/>
      <c r="AM124" s="460"/>
      <c r="AN124" s="460"/>
      <c r="AO124" s="449"/>
      <c r="AP124" s="449"/>
      <c r="AQ124" s="449"/>
      <c r="AR124" s="450"/>
    </row>
    <row r="125" spans="3:44" ht="18" customHeight="1">
      <c r="C125" s="535"/>
      <c r="D125" s="536"/>
      <c r="E125" s="537"/>
      <c r="F125" s="457"/>
      <c r="G125" s="457"/>
      <c r="H125" s="457"/>
      <c r="I125" s="457"/>
      <c r="J125" s="457"/>
      <c r="K125" s="457"/>
      <c r="L125" s="457"/>
      <c r="M125" s="457"/>
      <c r="N125" s="457"/>
      <c r="O125" s="457"/>
      <c r="P125" s="457"/>
      <c r="Q125" s="457"/>
      <c r="R125" s="457"/>
      <c r="S125" s="447"/>
      <c r="T125" s="447"/>
      <c r="U125" s="447"/>
      <c r="V125" s="447"/>
      <c r="W125" s="447"/>
      <c r="X125" s="447"/>
      <c r="Y125" s="448"/>
      <c r="Z125" s="448"/>
      <c r="AA125" s="448"/>
      <c r="AB125" s="448"/>
      <c r="AC125" s="448"/>
      <c r="AD125" s="448"/>
      <c r="AE125" s="449"/>
      <c r="AF125" s="449"/>
      <c r="AG125" s="449"/>
      <c r="AH125" s="425"/>
      <c r="AI125" s="425"/>
      <c r="AJ125" s="425"/>
      <c r="AK125" s="460"/>
      <c r="AL125" s="460"/>
      <c r="AM125" s="460"/>
      <c r="AN125" s="460"/>
      <c r="AO125" s="449"/>
      <c r="AP125" s="449"/>
      <c r="AQ125" s="449"/>
      <c r="AR125" s="450"/>
    </row>
    <row r="126" spans="3:44" ht="18" customHeight="1">
      <c r="C126" s="444"/>
      <c r="D126" s="445"/>
      <c r="E126" s="445"/>
      <c r="F126" s="446"/>
      <c r="G126" s="446"/>
      <c r="H126" s="446"/>
      <c r="I126" s="446"/>
      <c r="J126" s="446"/>
      <c r="K126" s="446"/>
      <c r="L126" s="446"/>
      <c r="M126" s="446"/>
      <c r="N126" s="446"/>
      <c r="O126" s="446"/>
      <c r="P126" s="446"/>
      <c r="Q126" s="446"/>
      <c r="R126" s="446"/>
      <c r="S126" s="447"/>
      <c r="T126" s="447"/>
      <c r="U126" s="447"/>
      <c r="V126" s="447"/>
      <c r="W126" s="447"/>
      <c r="X126" s="447"/>
      <c r="Y126" s="448"/>
      <c r="Z126" s="448"/>
      <c r="AA126" s="448"/>
      <c r="AB126" s="448"/>
      <c r="AC126" s="448"/>
      <c r="AD126" s="448"/>
      <c r="AE126" s="425"/>
      <c r="AF126" s="425"/>
      <c r="AG126" s="425"/>
      <c r="AH126" s="425"/>
      <c r="AI126" s="425"/>
      <c r="AJ126" s="425"/>
      <c r="AK126" s="424"/>
      <c r="AL126" s="424"/>
      <c r="AM126" s="424"/>
      <c r="AN126" s="424"/>
      <c r="AO126" s="425">
        <f>ROUND(AE126*AH126*AK126,2)</f>
        <v>0</v>
      </c>
      <c r="AP126" s="425"/>
      <c r="AQ126" s="425"/>
      <c r="AR126" s="426"/>
    </row>
    <row r="127" spans="3:44" ht="18" customHeight="1">
      <c r="C127" s="444"/>
      <c r="D127" s="445"/>
      <c r="E127" s="445"/>
      <c r="F127" s="446"/>
      <c r="G127" s="446"/>
      <c r="H127" s="446"/>
      <c r="I127" s="446"/>
      <c r="J127" s="446"/>
      <c r="K127" s="446"/>
      <c r="L127" s="446"/>
      <c r="M127" s="446"/>
      <c r="N127" s="446"/>
      <c r="O127" s="446"/>
      <c r="P127" s="446"/>
      <c r="Q127" s="446"/>
      <c r="R127" s="446"/>
      <c r="S127" s="447"/>
      <c r="T127" s="447"/>
      <c r="U127" s="447"/>
      <c r="V127" s="447"/>
      <c r="W127" s="447"/>
      <c r="X127" s="447"/>
      <c r="Y127" s="448"/>
      <c r="Z127" s="448"/>
      <c r="AA127" s="448"/>
      <c r="AB127" s="448"/>
      <c r="AC127" s="448"/>
      <c r="AD127" s="448"/>
      <c r="AE127" s="425"/>
      <c r="AF127" s="425"/>
      <c r="AG127" s="425"/>
      <c r="AH127" s="425"/>
      <c r="AI127" s="425"/>
      <c r="AJ127" s="425"/>
      <c r="AK127" s="424"/>
      <c r="AL127" s="424"/>
      <c r="AM127" s="424"/>
      <c r="AN127" s="424"/>
      <c r="AO127" s="425">
        <f>ROUND(AE127*AH127*AK127,2)</f>
        <v>0</v>
      </c>
      <c r="AP127" s="425"/>
      <c r="AQ127" s="425"/>
      <c r="AR127" s="426"/>
    </row>
    <row r="128" spans="3:44" ht="18" customHeight="1">
      <c r="C128" s="444"/>
      <c r="D128" s="445"/>
      <c r="E128" s="445"/>
      <c r="F128" s="446"/>
      <c r="G128" s="446"/>
      <c r="H128" s="446"/>
      <c r="I128" s="446"/>
      <c r="J128" s="446"/>
      <c r="K128" s="446"/>
      <c r="L128" s="446"/>
      <c r="M128" s="446"/>
      <c r="N128" s="446"/>
      <c r="O128" s="446"/>
      <c r="P128" s="446"/>
      <c r="Q128" s="446"/>
      <c r="R128" s="446"/>
      <c r="S128" s="447"/>
      <c r="T128" s="447"/>
      <c r="U128" s="447"/>
      <c r="V128" s="447"/>
      <c r="W128" s="447"/>
      <c r="X128" s="447"/>
      <c r="Y128" s="448"/>
      <c r="Z128" s="448"/>
      <c r="AA128" s="448"/>
      <c r="AB128" s="448"/>
      <c r="AC128" s="448"/>
      <c r="AD128" s="448"/>
      <c r="AE128" s="425"/>
      <c r="AF128" s="425"/>
      <c r="AG128" s="425"/>
      <c r="AH128" s="425"/>
      <c r="AI128" s="425"/>
      <c r="AJ128" s="425"/>
      <c r="AK128" s="424"/>
      <c r="AL128" s="424"/>
      <c r="AM128" s="424"/>
      <c r="AN128" s="424"/>
      <c r="AO128" s="425">
        <f>ROUND(AE128*AH128*AK128,2)</f>
        <v>0</v>
      </c>
      <c r="AP128" s="425"/>
      <c r="AQ128" s="425"/>
      <c r="AR128" s="426"/>
    </row>
    <row r="129" spans="1:44" ht="18" customHeight="1">
      <c r="C129" s="444"/>
      <c r="D129" s="445"/>
      <c r="E129" s="445"/>
      <c r="F129" s="446"/>
      <c r="G129" s="446"/>
      <c r="H129" s="446"/>
      <c r="I129" s="446"/>
      <c r="J129" s="446"/>
      <c r="K129" s="446"/>
      <c r="L129" s="446"/>
      <c r="M129" s="446"/>
      <c r="N129" s="446"/>
      <c r="O129" s="446"/>
      <c r="P129" s="446"/>
      <c r="Q129" s="446"/>
      <c r="R129" s="446"/>
      <c r="S129" s="447"/>
      <c r="T129" s="447"/>
      <c r="U129" s="447"/>
      <c r="V129" s="447"/>
      <c r="W129" s="447"/>
      <c r="X129" s="447"/>
      <c r="Y129" s="448"/>
      <c r="Z129" s="448"/>
      <c r="AA129" s="448"/>
      <c r="AB129" s="448"/>
      <c r="AC129" s="448"/>
      <c r="AD129" s="448"/>
      <c r="AE129" s="425"/>
      <c r="AF129" s="425"/>
      <c r="AG129" s="425"/>
      <c r="AH129" s="425"/>
      <c r="AI129" s="425"/>
      <c r="AJ129" s="425"/>
      <c r="AK129" s="424"/>
      <c r="AL129" s="424"/>
      <c r="AM129" s="424"/>
      <c r="AN129" s="424"/>
      <c r="AO129" s="425">
        <f>ROUND(AE129*AH129*AK129,2)</f>
        <v>0</v>
      </c>
      <c r="AP129" s="425"/>
      <c r="AQ129" s="425"/>
      <c r="AR129" s="426"/>
    </row>
    <row r="130" spans="1:44" ht="18" customHeight="1">
      <c r="C130" s="427"/>
      <c r="D130" s="428"/>
      <c r="E130" s="428"/>
      <c r="F130" s="428"/>
      <c r="G130" s="428"/>
      <c r="H130" s="428"/>
      <c r="I130" s="428"/>
      <c r="J130" s="428"/>
      <c r="K130" s="428"/>
      <c r="L130" s="428"/>
      <c r="M130" s="428"/>
      <c r="N130" s="428"/>
      <c r="O130" s="428"/>
      <c r="P130" s="428"/>
      <c r="Q130" s="428"/>
      <c r="R130" s="428"/>
      <c r="S130" s="428"/>
      <c r="T130" s="428"/>
      <c r="U130" s="428"/>
      <c r="V130" s="428"/>
      <c r="W130" s="428"/>
      <c r="X130" s="429"/>
      <c r="Y130" s="430" t="s">
        <v>95</v>
      </c>
      <c r="Z130" s="431"/>
      <c r="AA130" s="431"/>
      <c r="AB130" s="431"/>
      <c r="AC130" s="431"/>
      <c r="AD130" s="431"/>
      <c r="AE130" s="431"/>
      <c r="AF130" s="431"/>
      <c r="AG130" s="431"/>
      <c r="AH130" s="431"/>
      <c r="AI130" s="431"/>
      <c r="AJ130" s="431"/>
      <c r="AK130" s="431"/>
      <c r="AL130" s="431"/>
      <c r="AM130" s="431"/>
      <c r="AN130" s="431"/>
      <c r="AO130" s="432">
        <f>SUM(AO124:AR129)</f>
        <v>0</v>
      </c>
      <c r="AP130" s="432"/>
      <c r="AQ130" s="432"/>
      <c r="AR130" s="433"/>
    </row>
    <row r="132" spans="1:44" ht="18" customHeight="1">
      <c r="C132" s="434"/>
      <c r="D132" s="434"/>
      <c r="E132" s="434"/>
      <c r="F132" s="434"/>
      <c r="G132" s="434"/>
      <c r="H132" s="434"/>
      <c r="I132" s="434"/>
      <c r="J132" s="434"/>
      <c r="K132" s="434"/>
      <c r="L132" s="434"/>
      <c r="M132" s="434"/>
      <c r="N132" s="434"/>
      <c r="O132" s="434"/>
      <c r="P132" s="434"/>
      <c r="Q132" s="434"/>
      <c r="R132" s="434"/>
      <c r="S132" s="434"/>
      <c r="T132" s="434"/>
      <c r="U132" s="434"/>
      <c r="V132" s="434"/>
      <c r="W132" s="434"/>
      <c r="X132" s="434"/>
      <c r="Y132" s="435" t="s">
        <v>96</v>
      </c>
      <c r="Z132" s="436"/>
      <c r="AA132" s="436"/>
      <c r="AB132" s="436"/>
      <c r="AC132" s="436"/>
      <c r="AD132" s="436"/>
      <c r="AE132" s="436"/>
      <c r="AF132" s="436"/>
      <c r="AG132" s="436"/>
      <c r="AH132" s="436"/>
      <c r="AI132" s="436"/>
      <c r="AJ132" s="436"/>
      <c r="AK132" s="436"/>
      <c r="AL132" s="436"/>
      <c r="AM132" s="436"/>
      <c r="AN132" s="436"/>
      <c r="AO132" s="437">
        <f>AO106+AO120+AO130</f>
        <v>32.699999999999996</v>
      </c>
      <c r="AP132" s="437"/>
      <c r="AQ132" s="437"/>
      <c r="AR132" s="438"/>
    </row>
    <row r="133" spans="1:44" ht="18" customHeight="1">
      <c r="C133" s="434"/>
      <c r="D133" s="434"/>
      <c r="E133" s="434"/>
      <c r="F133" s="434"/>
      <c r="G133" s="434"/>
      <c r="H133" s="434"/>
      <c r="I133" s="434"/>
      <c r="J133" s="434"/>
      <c r="K133" s="434"/>
      <c r="L133" s="434"/>
      <c r="M133" s="434"/>
      <c r="N133" s="434"/>
      <c r="O133" s="434"/>
      <c r="P133" s="434"/>
      <c r="Q133" s="434"/>
      <c r="R133" s="434"/>
      <c r="S133" s="434"/>
      <c r="T133" s="434"/>
      <c r="U133" s="434"/>
      <c r="V133" s="434"/>
      <c r="W133" s="434"/>
      <c r="X133" s="434"/>
      <c r="Y133" s="439" t="s">
        <v>97</v>
      </c>
      <c r="Z133" s="440"/>
      <c r="AA133" s="440"/>
      <c r="AB133" s="440"/>
      <c r="AC133" s="440"/>
      <c r="AD133" s="440"/>
      <c r="AE133" s="440"/>
      <c r="AF133" s="440"/>
      <c r="AG133" s="441"/>
      <c r="AH133" s="442">
        <v>0.2031</v>
      </c>
      <c r="AI133" s="442"/>
      <c r="AJ133" s="442"/>
      <c r="AK133" s="442"/>
      <c r="AL133" s="442"/>
      <c r="AM133" s="442"/>
      <c r="AN133" s="443"/>
      <c r="AO133" s="413">
        <f>ROUND(AO132*AH133,2)</f>
        <v>6.64</v>
      </c>
      <c r="AP133" s="413"/>
      <c r="AQ133" s="413"/>
      <c r="AR133" s="414"/>
    </row>
    <row r="134" spans="1:44" ht="18" customHeight="1">
      <c r="A134" s="415" t="s">
        <v>685</v>
      </c>
      <c r="B134" s="415"/>
      <c r="C134" s="434"/>
      <c r="D134" s="434"/>
      <c r="E134" s="434"/>
      <c r="F134" s="434"/>
      <c r="G134" s="434"/>
      <c r="H134" s="434"/>
      <c r="I134" s="434"/>
      <c r="J134" s="434"/>
      <c r="K134" s="434"/>
      <c r="L134" s="434"/>
      <c r="M134" s="434"/>
      <c r="N134" s="434"/>
      <c r="O134" s="434"/>
      <c r="P134" s="434"/>
      <c r="Q134" s="434"/>
      <c r="R134" s="434"/>
      <c r="S134" s="434"/>
      <c r="T134" s="434"/>
      <c r="U134" s="434"/>
      <c r="V134" s="434"/>
      <c r="W134" s="434"/>
      <c r="X134" s="434"/>
      <c r="Y134" s="416" t="s">
        <v>98</v>
      </c>
      <c r="Z134" s="417"/>
      <c r="AA134" s="417"/>
      <c r="AB134" s="417"/>
      <c r="AC134" s="417"/>
      <c r="AD134" s="417"/>
      <c r="AE134" s="417"/>
      <c r="AF134" s="417"/>
      <c r="AG134" s="417"/>
      <c r="AH134" s="417"/>
      <c r="AI134" s="417"/>
      <c r="AJ134" s="417"/>
      <c r="AK134" s="417"/>
      <c r="AL134" s="417"/>
      <c r="AM134" s="417"/>
      <c r="AN134" s="417"/>
      <c r="AO134" s="418">
        <f>SUM(AO132:AR133)</f>
        <v>39.339999999999996</v>
      </c>
      <c r="AP134" s="418"/>
      <c r="AQ134" s="418"/>
      <c r="AR134" s="419"/>
    </row>
    <row r="136" spans="1:44" ht="18" customHeight="1">
      <c r="C136" s="420" t="s">
        <v>99</v>
      </c>
      <c r="D136" s="421"/>
      <c r="E136" s="421"/>
      <c r="F136" s="421"/>
      <c r="G136" s="421"/>
      <c r="H136" s="421"/>
      <c r="I136" s="422"/>
      <c r="J136" s="422"/>
      <c r="K136" s="422"/>
      <c r="L136" s="422"/>
      <c r="M136" s="422"/>
      <c r="N136" s="422"/>
      <c r="O136" s="422"/>
      <c r="P136" s="422"/>
      <c r="Q136" s="422"/>
      <c r="R136" s="422"/>
      <c r="S136" s="422"/>
      <c r="T136" s="422"/>
      <c r="U136" s="422"/>
      <c r="V136" s="422"/>
      <c r="W136" s="422"/>
      <c r="X136" s="422"/>
      <c r="Y136" s="422"/>
      <c r="Z136" s="422"/>
      <c r="AA136" s="422"/>
      <c r="AB136" s="422"/>
      <c r="AC136" s="422"/>
      <c r="AD136" s="422"/>
      <c r="AE136" s="422"/>
      <c r="AF136" s="422"/>
      <c r="AG136" s="422"/>
      <c r="AH136" s="422"/>
      <c r="AI136" s="422"/>
      <c r="AJ136" s="422"/>
      <c r="AK136" s="422"/>
      <c r="AL136" s="422"/>
      <c r="AM136" s="422"/>
      <c r="AN136" s="422"/>
      <c r="AO136" s="422"/>
      <c r="AP136" s="422"/>
      <c r="AQ136" s="422"/>
      <c r="AR136" s="423"/>
    </row>
    <row r="137" spans="1:44" ht="18" customHeight="1">
      <c r="C137" s="411"/>
      <c r="D137" s="412"/>
      <c r="E137" s="412"/>
      <c r="F137" s="412"/>
      <c r="G137" s="412"/>
      <c r="H137" s="412"/>
      <c r="I137" s="409"/>
      <c r="J137" s="409"/>
      <c r="K137" s="409"/>
      <c r="L137" s="409"/>
      <c r="M137" s="409"/>
      <c r="N137" s="409"/>
      <c r="O137" s="409"/>
      <c r="P137" s="409"/>
      <c r="Q137" s="409"/>
      <c r="R137" s="409"/>
      <c r="S137" s="409"/>
      <c r="T137" s="409"/>
      <c r="U137" s="409"/>
      <c r="V137" s="409"/>
      <c r="W137" s="409"/>
      <c r="X137" s="409"/>
      <c r="Y137" s="409"/>
      <c r="Z137" s="409"/>
      <c r="AA137" s="409"/>
      <c r="AB137" s="409"/>
      <c r="AC137" s="409"/>
      <c r="AD137" s="409"/>
      <c r="AE137" s="409"/>
      <c r="AF137" s="409"/>
      <c r="AG137" s="409"/>
      <c r="AH137" s="409"/>
      <c r="AI137" s="409"/>
      <c r="AJ137" s="409"/>
      <c r="AK137" s="409"/>
      <c r="AL137" s="409"/>
      <c r="AM137" s="409"/>
      <c r="AN137" s="409"/>
      <c r="AO137" s="409"/>
      <c r="AP137" s="409"/>
      <c r="AQ137" s="409"/>
      <c r="AR137" s="410"/>
    </row>
    <row r="138" spans="1:44" ht="18" customHeight="1">
      <c r="C138" s="411"/>
      <c r="D138" s="412"/>
      <c r="E138" s="412"/>
      <c r="F138" s="412"/>
      <c r="G138" s="412"/>
      <c r="H138" s="412"/>
      <c r="I138" s="409"/>
      <c r="J138" s="409"/>
      <c r="K138" s="409"/>
      <c r="L138" s="409"/>
      <c r="M138" s="409"/>
      <c r="N138" s="409"/>
      <c r="O138" s="409"/>
      <c r="P138" s="409"/>
      <c r="Q138" s="409"/>
      <c r="R138" s="409"/>
      <c r="S138" s="409"/>
      <c r="T138" s="409"/>
      <c r="U138" s="409"/>
      <c r="V138" s="409"/>
      <c r="W138" s="409"/>
      <c r="X138" s="409"/>
      <c r="Y138" s="409"/>
      <c r="Z138" s="409"/>
      <c r="AA138" s="409"/>
      <c r="AB138" s="409"/>
      <c r="AC138" s="409"/>
      <c r="AD138" s="409"/>
      <c r="AE138" s="409"/>
      <c r="AF138" s="409"/>
      <c r="AG138" s="409"/>
      <c r="AH138" s="409"/>
      <c r="AI138" s="409"/>
      <c r="AJ138" s="409"/>
      <c r="AK138" s="409"/>
      <c r="AL138" s="409"/>
      <c r="AM138" s="409"/>
      <c r="AN138" s="409"/>
      <c r="AO138" s="409"/>
      <c r="AP138" s="409"/>
      <c r="AQ138" s="409"/>
      <c r="AR138" s="410"/>
    </row>
    <row r="139" spans="1:44" ht="18" customHeight="1">
      <c r="C139" s="411"/>
      <c r="D139" s="412"/>
      <c r="E139" s="412"/>
      <c r="F139" s="412"/>
      <c r="G139" s="412"/>
      <c r="H139" s="412"/>
      <c r="I139" s="409"/>
      <c r="J139" s="409"/>
      <c r="K139" s="409"/>
      <c r="L139" s="409"/>
      <c r="M139" s="409"/>
      <c r="N139" s="409"/>
      <c r="O139" s="409"/>
      <c r="P139" s="409"/>
      <c r="Q139" s="409"/>
      <c r="R139" s="409"/>
      <c r="S139" s="409"/>
      <c r="T139" s="409"/>
      <c r="U139" s="409"/>
      <c r="V139" s="409"/>
      <c r="W139" s="409"/>
      <c r="X139" s="409"/>
      <c r="Y139" s="409"/>
      <c r="Z139" s="409"/>
      <c r="AA139" s="409"/>
      <c r="AB139" s="409"/>
      <c r="AC139" s="409"/>
      <c r="AD139" s="409"/>
      <c r="AE139" s="409"/>
      <c r="AF139" s="409"/>
      <c r="AG139" s="409"/>
      <c r="AH139" s="409"/>
      <c r="AI139" s="409"/>
      <c r="AJ139" s="409"/>
      <c r="AK139" s="409"/>
      <c r="AL139" s="409"/>
      <c r="AM139" s="409"/>
      <c r="AN139" s="409"/>
      <c r="AO139" s="409"/>
      <c r="AP139" s="409"/>
      <c r="AQ139" s="409"/>
      <c r="AR139" s="410"/>
    </row>
    <row r="140" spans="1:44" ht="18" customHeight="1">
      <c r="C140" s="411"/>
      <c r="D140" s="412"/>
      <c r="E140" s="412"/>
      <c r="F140" s="412"/>
      <c r="G140" s="412"/>
      <c r="H140" s="412"/>
      <c r="I140" s="409"/>
      <c r="J140" s="409"/>
      <c r="K140" s="409"/>
      <c r="L140" s="409"/>
      <c r="M140" s="409"/>
      <c r="N140" s="409"/>
      <c r="O140" s="409"/>
      <c r="P140" s="409"/>
      <c r="Q140" s="409"/>
      <c r="R140" s="409"/>
      <c r="S140" s="409"/>
      <c r="T140" s="409"/>
      <c r="U140" s="409"/>
      <c r="V140" s="409"/>
      <c r="W140" s="409"/>
      <c r="X140" s="409"/>
      <c r="Y140" s="409"/>
      <c r="Z140" s="409"/>
      <c r="AA140" s="409"/>
      <c r="AB140" s="409"/>
      <c r="AC140" s="409"/>
      <c r="AD140" s="409"/>
      <c r="AE140" s="409"/>
      <c r="AF140" s="409"/>
      <c r="AG140" s="409"/>
      <c r="AH140" s="409"/>
      <c r="AI140" s="409"/>
      <c r="AJ140" s="409"/>
      <c r="AK140" s="409"/>
      <c r="AL140" s="409"/>
      <c r="AM140" s="409"/>
      <c r="AN140" s="409"/>
      <c r="AO140" s="409"/>
      <c r="AP140" s="409"/>
      <c r="AQ140" s="409"/>
      <c r="AR140" s="410"/>
    </row>
    <row r="141" spans="1:44" ht="18" customHeight="1">
      <c r="C141" s="385"/>
      <c r="D141" s="386"/>
      <c r="E141" s="386"/>
      <c r="F141" s="386"/>
      <c r="G141" s="386"/>
      <c r="H141" s="386"/>
      <c r="I141" s="387"/>
      <c r="J141" s="387"/>
      <c r="K141" s="387"/>
      <c r="L141" s="387"/>
      <c r="M141" s="387"/>
      <c r="N141" s="387"/>
      <c r="O141" s="387"/>
      <c r="P141" s="387"/>
      <c r="Q141" s="387"/>
      <c r="R141" s="387"/>
      <c r="S141" s="387"/>
      <c r="T141" s="387"/>
      <c r="U141" s="387"/>
      <c r="V141" s="387"/>
      <c r="W141" s="387"/>
      <c r="X141" s="387"/>
      <c r="Y141" s="387"/>
      <c r="Z141" s="387"/>
      <c r="AA141" s="387"/>
      <c r="AB141" s="387"/>
      <c r="AC141" s="387"/>
      <c r="AD141" s="387"/>
      <c r="AE141" s="387"/>
      <c r="AF141" s="387"/>
      <c r="AG141" s="387"/>
      <c r="AH141" s="387"/>
      <c r="AI141" s="387"/>
      <c r="AJ141" s="387"/>
      <c r="AK141" s="387"/>
      <c r="AL141" s="387"/>
      <c r="AM141" s="387"/>
      <c r="AN141" s="387"/>
      <c r="AO141" s="387"/>
      <c r="AP141" s="387"/>
      <c r="AQ141" s="387"/>
      <c r="AR141" s="388"/>
    </row>
    <row r="143" spans="1:44" ht="18" customHeight="1">
      <c r="C143" s="389" t="s">
        <v>100</v>
      </c>
      <c r="D143" s="390"/>
      <c r="E143" s="390"/>
      <c r="F143" s="390"/>
      <c r="G143" s="390"/>
      <c r="H143" s="390"/>
      <c r="I143" s="390"/>
      <c r="J143" s="390"/>
      <c r="K143" s="390"/>
      <c r="L143" s="390"/>
      <c r="M143" s="390"/>
      <c r="N143" s="390"/>
      <c r="O143" s="390"/>
      <c r="P143" s="390"/>
      <c r="Q143" s="390"/>
      <c r="R143" s="390"/>
      <c r="S143" s="390"/>
      <c r="T143" s="390"/>
      <c r="U143" s="390"/>
      <c r="V143" s="390"/>
      <c r="W143" s="390"/>
      <c r="X143" s="390"/>
      <c r="Y143" s="390"/>
      <c r="Z143" s="390"/>
      <c r="AA143" s="391"/>
      <c r="AB143" s="392" t="str">
        <f>[4]C.UNIT.SERV.!$E$5</f>
        <v>DATA-BASE:      MAIO/2011/PR</v>
      </c>
      <c r="AC143" s="393"/>
      <c r="AD143" s="393"/>
      <c r="AE143" s="393"/>
      <c r="AF143" s="393"/>
      <c r="AG143" s="393"/>
      <c r="AH143" s="393"/>
      <c r="AI143" s="394"/>
      <c r="AJ143" s="392"/>
      <c r="AK143" s="393"/>
      <c r="AL143" s="393"/>
      <c r="AM143" s="393"/>
      <c r="AN143" s="393"/>
      <c r="AO143" s="393"/>
      <c r="AP143" s="393"/>
      <c r="AQ143" s="393"/>
      <c r="AR143" s="401"/>
    </row>
    <row r="144" spans="1:44" ht="18" customHeight="1">
      <c r="C144" s="404" t="s">
        <v>101</v>
      </c>
      <c r="D144" s="405"/>
      <c r="E144" s="405"/>
      <c r="F144" s="405"/>
      <c r="G144" s="405" t="s">
        <v>283</v>
      </c>
      <c r="H144" s="405"/>
      <c r="I144" s="405"/>
      <c r="J144" s="405"/>
      <c r="K144" s="405"/>
      <c r="L144" s="405"/>
      <c r="M144" s="405"/>
      <c r="N144" s="405"/>
      <c r="O144" s="405"/>
      <c r="P144" s="405"/>
      <c r="Q144" s="405"/>
      <c r="R144" s="405"/>
      <c r="S144" s="405"/>
      <c r="T144" s="405"/>
      <c r="U144" s="405"/>
      <c r="V144" s="405"/>
      <c r="W144" s="405"/>
      <c r="X144" s="405"/>
      <c r="Y144" s="405"/>
      <c r="Z144" s="405"/>
      <c r="AA144" s="406"/>
      <c r="AB144" s="395"/>
      <c r="AC144" s="396"/>
      <c r="AD144" s="396"/>
      <c r="AE144" s="396"/>
      <c r="AF144" s="396"/>
      <c r="AG144" s="396"/>
      <c r="AH144" s="396"/>
      <c r="AI144" s="397"/>
      <c r="AJ144" s="395"/>
      <c r="AK144" s="396"/>
      <c r="AL144" s="396"/>
      <c r="AM144" s="396"/>
      <c r="AN144" s="396"/>
      <c r="AO144" s="396"/>
      <c r="AP144" s="396"/>
      <c r="AQ144" s="396"/>
      <c r="AR144" s="402"/>
    </row>
    <row r="145" spans="3:44" ht="18" customHeight="1">
      <c r="C145" s="404" t="s">
        <v>102</v>
      </c>
      <c r="D145" s="405"/>
      <c r="E145" s="405"/>
      <c r="F145" s="405"/>
      <c r="G145" s="405"/>
      <c r="H145" s="405"/>
      <c r="I145" s="405"/>
      <c r="J145" s="405"/>
      <c r="K145" s="405"/>
      <c r="L145" s="405"/>
      <c r="M145" s="405"/>
      <c r="N145" s="405"/>
      <c r="O145" s="405"/>
      <c r="P145" s="405"/>
      <c r="Q145" s="405"/>
      <c r="R145" s="405"/>
      <c r="S145" s="405"/>
      <c r="T145" s="405"/>
      <c r="U145" s="405"/>
      <c r="V145" s="405"/>
      <c r="W145" s="405"/>
      <c r="X145" s="405"/>
      <c r="Y145" s="405"/>
      <c r="Z145" s="405"/>
      <c r="AA145" s="406"/>
      <c r="AB145" s="395"/>
      <c r="AC145" s="396"/>
      <c r="AD145" s="396"/>
      <c r="AE145" s="396"/>
      <c r="AF145" s="396"/>
      <c r="AG145" s="396"/>
      <c r="AH145" s="396"/>
      <c r="AI145" s="397"/>
      <c r="AJ145" s="395"/>
      <c r="AK145" s="396"/>
      <c r="AL145" s="396"/>
      <c r="AM145" s="396"/>
      <c r="AN145" s="396"/>
      <c r="AO145" s="396"/>
      <c r="AP145" s="396"/>
      <c r="AQ145" s="396"/>
      <c r="AR145" s="402"/>
    </row>
    <row r="146" spans="3:44" ht="18" customHeight="1">
      <c r="C146" s="407"/>
      <c r="D146" s="408"/>
      <c r="E146" s="408"/>
      <c r="F146" s="408"/>
      <c r="G146" s="408"/>
      <c r="H146" s="408"/>
      <c r="I146" s="408"/>
      <c r="J146" s="408"/>
      <c r="K146" s="408"/>
      <c r="L146" s="408"/>
      <c r="M146" s="408"/>
      <c r="N146" s="408"/>
      <c r="O146" s="408"/>
      <c r="P146" s="408"/>
      <c r="Q146" s="408"/>
      <c r="R146" s="408"/>
      <c r="S146" s="408"/>
      <c r="T146" s="408"/>
      <c r="U146" s="408"/>
      <c r="V146" s="408"/>
      <c r="W146" s="408"/>
      <c r="X146" s="408"/>
      <c r="Y146" s="408"/>
      <c r="Z146" s="408"/>
      <c r="AA146" s="408"/>
      <c r="AB146" s="398"/>
      <c r="AC146" s="399"/>
      <c r="AD146" s="399"/>
      <c r="AE146" s="399"/>
      <c r="AF146" s="399"/>
      <c r="AG146" s="399"/>
      <c r="AH146" s="399"/>
      <c r="AI146" s="400"/>
      <c r="AJ146" s="398"/>
      <c r="AK146" s="399"/>
      <c r="AL146" s="399"/>
      <c r="AM146" s="399"/>
      <c r="AN146" s="399"/>
      <c r="AO146" s="399"/>
      <c r="AP146" s="399"/>
      <c r="AQ146" s="399"/>
      <c r="AR146" s="403"/>
    </row>
    <row r="148" spans="3:44" ht="18" customHeight="1">
      <c r="C148" s="496" t="s">
        <v>64</v>
      </c>
      <c r="D148" s="497"/>
      <c r="E148" s="497"/>
      <c r="F148" s="497"/>
      <c r="G148" s="497"/>
      <c r="H148" s="497"/>
      <c r="I148" s="497"/>
      <c r="J148" s="497"/>
      <c r="K148" s="497"/>
      <c r="L148" s="497"/>
      <c r="M148" s="497"/>
      <c r="N148" s="497"/>
      <c r="O148" s="497"/>
      <c r="P148" s="497"/>
      <c r="Q148" s="497"/>
      <c r="R148" s="497"/>
      <c r="S148" s="497"/>
      <c r="T148" s="497"/>
      <c r="U148" s="497"/>
      <c r="V148" s="497"/>
      <c r="W148" s="497"/>
      <c r="X148" s="497"/>
      <c r="Y148" s="497"/>
      <c r="Z148" s="497"/>
      <c r="AA148" s="497"/>
      <c r="AB148" s="497"/>
      <c r="AC148" s="497"/>
      <c r="AD148" s="497"/>
      <c r="AE148" s="497"/>
      <c r="AF148" s="497"/>
      <c r="AG148" s="497"/>
      <c r="AH148" s="497"/>
      <c r="AI148" s="497"/>
      <c r="AJ148" s="497"/>
      <c r="AK148" s="497"/>
      <c r="AL148" s="497"/>
      <c r="AM148" s="497"/>
      <c r="AN148" s="497"/>
      <c r="AO148" s="497"/>
      <c r="AP148" s="497"/>
      <c r="AQ148" s="497"/>
      <c r="AR148" s="498"/>
    </row>
    <row r="149" spans="3:44" ht="18" customHeight="1">
      <c r="C149" s="499"/>
      <c r="D149" s="500"/>
      <c r="E149" s="500"/>
      <c r="F149" s="500"/>
      <c r="G149" s="500"/>
      <c r="H149" s="500"/>
      <c r="I149" s="500"/>
      <c r="J149" s="500"/>
      <c r="K149" s="500"/>
      <c r="L149" s="500"/>
      <c r="M149" s="500"/>
      <c r="N149" s="500"/>
      <c r="O149" s="500"/>
      <c r="P149" s="500"/>
      <c r="Q149" s="500"/>
      <c r="R149" s="500"/>
      <c r="S149" s="500"/>
      <c r="T149" s="500"/>
      <c r="U149" s="500"/>
      <c r="V149" s="500"/>
      <c r="W149" s="500"/>
      <c r="X149" s="500"/>
      <c r="Y149" s="500"/>
      <c r="Z149" s="500"/>
      <c r="AA149" s="500"/>
      <c r="AB149" s="500"/>
      <c r="AC149" s="500"/>
      <c r="AD149" s="500"/>
      <c r="AE149" s="500"/>
      <c r="AF149" s="500"/>
      <c r="AG149" s="500"/>
      <c r="AH149" s="500"/>
      <c r="AI149" s="500"/>
      <c r="AJ149" s="500"/>
      <c r="AK149" s="500"/>
      <c r="AL149" s="500"/>
      <c r="AM149" s="500"/>
      <c r="AN149" s="500"/>
      <c r="AO149" s="500"/>
      <c r="AP149" s="500"/>
      <c r="AQ149" s="500"/>
      <c r="AR149" s="501"/>
    </row>
    <row r="150" spans="3:44" ht="18" customHeight="1">
      <c r="C150" s="502" t="s">
        <v>65</v>
      </c>
      <c r="D150" s="503"/>
      <c r="E150" s="503"/>
      <c r="F150" s="504"/>
      <c r="G150" s="508" t="s">
        <v>282</v>
      </c>
      <c r="H150" s="509"/>
      <c r="I150" s="509"/>
      <c r="J150" s="509"/>
      <c r="K150" s="512" t="s">
        <v>66</v>
      </c>
      <c r="L150" s="512"/>
      <c r="M150" s="512"/>
      <c r="N150" s="513"/>
      <c r="O150" s="526" t="s">
        <v>638</v>
      </c>
      <c r="P150" s="526"/>
      <c r="Q150" s="526"/>
      <c r="R150" s="526"/>
      <c r="S150" s="526"/>
      <c r="T150" s="526"/>
      <c r="U150" s="526"/>
      <c r="V150" s="526"/>
      <c r="W150" s="526"/>
      <c r="X150" s="526"/>
      <c r="Y150" s="526"/>
      <c r="Z150" s="526"/>
      <c r="AA150" s="526"/>
      <c r="AB150" s="526"/>
      <c r="AC150" s="526"/>
      <c r="AD150" s="526"/>
      <c r="AE150" s="526"/>
      <c r="AF150" s="526"/>
      <c r="AG150" s="526"/>
      <c r="AH150" s="526"/>
      <c r="AI150" s="526"/>
      <c r="AJ150" s="526"/>
      <c r="AK150" s="527"/>
      <c r="AL150" s="512" t="s">
        <v>67</v>
      </c>
      <c r="AM150" s="512"/>
      <c r="AN150" s="512"/>
      <c r="AO150" s="513"/>
      <c r="AP150" s="516" t="s">
        <v>189</v>
      </c>
      <c r="AQ150" s="517"/>
      <c r="AR150" s="518"/>
    </row>
    <row r="151" spans="3:44" ht="18" customHeight="1">
      <c r="C151" s="505"/>
      <c r="D151" s="506"/>
      <c r="E151" s="506"/>
      <c r="F151" s="507"/>
      <c r="G151" s="510"/>
      <c r="H151" s="511"/>
      <c r="I151" s="511"/>
      <c r="J151" s="511"/>
      <c r="K151" s="514"/>
      <c r="L151" s="514"/>
      <c r="M151" s="514"/>
      <c r="N151" s="515"/>
      <c r="O151" s="528"/>
      <c r="P151" s="528"/>
      <c r="Q151" s="528"/>
      <c r="R151" s="528"/>
      <c r="S151" s="528"/>
      <c r="T151" s="528"/>
      <c r="U151" s="528"/>
      <c r="V151" s="528"/>
      <c r="W151" s="528"/>
      <c r="X151" s="528"/>
      <c r="Y151" s="528"/>
      <c r="Z151" s="528"/>
      <c r="AA151" s="528"/>
      <c r="AB151" s="528"/>
      <c r="AC151" s="528"/>
      <c r="AD151" s="528"/>
      <c r="AE151" s="528"/>
      <c r="AF151" s="528"/>
      <c r="AG151" s="528"/>
      <c r="AH151" s="528"/>
      <c r="AI151" s="528"/>
      <c r="AJ151" s="528"/>
      <c r="AK151" s="529"/>
      <c r="AL151" s="514"/>
      <c r="AM151" s="514"/>
      <c r="AN151" s="514"/>
      <c r="AO151" s="515"/>
      <c r="AP151" s="519"/>
      <c r="AQ151" s="520"/>
      <c r="AR151" s="521"/>
    </row>
    <row r="153" spans="3:44" ht="18" customHeight="1">
      <c r="C153" s="461" t="s">
        <v>43</v>
      </c>
      <c r="D153" s="451"/>
      <c r="E153" s="451"/>
      <c r="F153" s="451" t="s">
        <v>68</v>
      </c>
      <c r="G153" s="451"/>
      <c r="H153" s="451"/>
      <c r="I153" s="451"/>
      <c r="J153" s="451"/>
      <c r="K153" s="451"/>
      <c r="L153" s="451"/>
      <c r="M153" s="451"/>
      <c r="N153" s="451"/>
      <c r="O153" s="451"/>
      <c r="P153" s="451"/>
      <c r="Q153" s="451"/>
      <c r="R153" s="451"/>
      <c r="S153" s="451"/>
      <c r="T153" s="451"/>
      <c r="U153" s="451"/>
      <c r="V153" s="451" t="s">
        <v>249</v>
      </c>
      <c r="W153" s="451"/>
      <c r="X153" s="451"/>
      <c r="Y153" s="451" t="s">
        <v>69</v>
      </c>
      <c r="Z153" s="451"/>
      <c r="AA153" s="451"/>
      <c r="AB153" s="451"/>
      <c r="AC153" s="451"/>
      <c r="AD153" s="451"/>
      <c r="AE153" s="451"/>
      <c r="AF153" s="451"/>
      <c r="AG153" s="451" t="s">
        <v>70</v>
      </c>
      <c r="AH153" s="451"/>
      <c r="AI153" s="451"/>
      <c r="AJ153" s="451"/>
      <c r="AK153" s="451"/>
      <c r="AL153" s="451"/>
      <c r="AM153" s="451"/>
      <c r="AN153" s="451"/>
      <c r="AO153" s="451" t="s">
        <v>71</v>
      </c>
      <c r="AP153" s="451"/>
      <c r="AQ153" s="451"/>
      <c r="AR153" s="453"/>
    </row>
    <row r="154" spans="3:44" ht="18" customHeight="1">
      <c r="C154" s="462"/>
      <c r="D154" s="452"/>
      <c r="E154" s="452"/>
      <c r="F154" s="452"/>
      <c r="G154" s="452"/>
      <c r="H154" s="452"/>
      <c r="I154" s="452"/>
      <c r="J154" s="452"/>
      <c r="K154" s="452"/>
      <c r="L154" s="452"/>
      <c r="M154" s="452"/>
      <c r="N154" s="452"/>
      <c r="O154" s="452"/>
      <c r="P154" s="452"/>
      <c r="Q154" s="452"/>
      <c r="R154" s="452"/>
      <c r="S154" s="452"/>
      <c r="T154" s="452"/>
      <c r="U154" s="452"/>
      <c r="V154" s="452"/>
      <c r="W154" s="452"/>
      <c r="X154" s="452"/>
      <c r="Y154" s="452" t="s">
        <v>72</v>
      </c>
      <c r="Z154" s="452"/>
      <c r="AA154" s="452"/>
      <c r="AB154" s="452"/>
      <c r="AC154" s="452" t="s">
        <v>73</v>
      </c>
      <c r="AD154" s="452"/>
      <c r="AE154" s="452"/>
      <c r="AF154" s="452"/>
      <c r="AG154" s="452" t="s">
        <v>72</v>
      </c>
      <c r="AH154" s="452"/>
      <c r="AI154" s="452"/>
      <c r="AJ154" s="452"/>
      <c r="AK154" s="452" t="s">
        <v>73</v>
      </c>
      <c r="AL154" s="452"/>
      <c r="AM154" s="452"/>
      <c r="AN154" s="452"/>
      <c r="AO154" s="452"/>
      <c r="AP154" s="452"/>
      <c r="AQ154" s="452"/>
      <c r="AR154" s="454"/>
    </row>
    <row r="155" spans="3:44" ht="18" customHeight="1">
      <c r="C155" s="455" t="s">
        <v>1392</v>
      </c>
      <c r="D155" s="456"/>
      <c r="E155" s="456"/>
      <c r="F155" s="493" t="s">
        <v>582</v>
      </c>
      <c r="G155" s="493"/>
      <c r="H155" s="493"/>
      <c r="I155" s="493"/>
      <c r="J155" s="493"/>
      <c r="K155" s="493"/>
      <c r="L155" s="493"/>
      <c r="M155" s="493"/>
      <c r="N155" s="493"/>
      <c r="O155" s="493"/>
      <c r="P155" s="493"/>
      <c r="Q155" s="493"/>
      <c r="R155" s="493"/>
      <c r="S155" s="493"/>
      <c r="T155" s="493"/>
      <c r="U155" s="493"/>
      <c r="V155" s="491">
        <v>1</v>
      </c>
      <c r="W155" s="491"/>
      <c r="X155" s="491"/>
      <c r="Y155" s="491">
        <v>0.3</v>
      </c>
      <c r="Z155" s="491"/>
      <c r="AA155" s="491"/>
      <c r="AB155" s="491"/>
      <c r="AC155" s="494">
        <f>1-Y155</f>
        <v>0.7</v>
      </c>
      <c r="AD155" s="494"/>
      <c r="AE155" s="494"/>
      <c r="AF155" s="494"/>
      <c r="AG155" s="491">
        <f>VLOOKUP(C155,[4]EQUIPAMENTOS!A$1:D$65536,3,FALSE)</f>
        <v>21.093699999999998</v>
      </c>
      <c r="AH155" s="491"/>
      <c r="AI155" s="491"/>
      <c r="AJ155" s="491"/>
      <c r="AK155" s="491">
        <f>VLOOKUP(C155,[4]EQUIPAMENTOS!A$1:D$65536,4,FALSE)</f>
        <v>15.1364</v>
      </c>
      <c r="AL155" s="491"/>
      <c r="AM155" s="491"/>
      <c r="AN155" s="491"/>
      <c r="AO155" s="491">
        <f>ROUND((Y155*AG155+AC155*AK155)*V155,2)</f>
        <v>16.920000000000002</v>
      </c>
      <c r="AP155" s="491"/>
      <c r="AQ155" s="491"/>
      <c r="AR155" s="492"/>
    </row>
    <row r="156" spans="3:44" ht="18" customHeight="1">
      <c r="C156" s="444" t="s">
        <v>1403</v>
      </c>
      <c r="D156" s="445"/>
      <c r="E156" s="445"/>
      <c r="F156" s="493" t="s">
        <v>856</v>
      </c>
      <c r="G156" s="493"/>
      <c r="H156" s="493"/>
      <c r="I156" s="493"/>
      <c r="J156" s="493"/>
      <c r="K156" s="493"/>
      <c r="L156" s="493"/>
      <c r="M156" s="493"/>
      <c r="N156" s="493"/>
      <c r="O156" s="493"/>
      <c r="P156" s="493"/>
      <c r="Q156" s="493"/>
      <c r="R156" s="493"/>
      <c r="S156" s="493"/>
      <c r="T156" s="493"/>
      <c r="U156" s="493"/>
      <c r="V156" s="491">
        <v>1</v>
      </c>
      <c r="W156" s="491"/>
      <c r="X156" s="491"/>
      <c r="Y156" s="491">
        <v>0.7</v>
      </c>
      <c r="Z156" s="491"/>
      <c r="AA156" s="491"/>
      <c r="AB156" s="491"/>
      <c r="AC156" s="494">
        <f>1-Y156</f>
        <v>0.30000000000000004</v>
      </c>
      <c r="AD156" s="494"/>
      <c r="AE156" s="494"/>
      <c r="AF156" s="494"/>
      <c r="AG156" s="491">
        <f>VLOOKUP(C156,[4]EQUIPAMENTOS!A$1:D$65536,3,FALSE)</f>
        <v>115.1918</v>
      </c>
      <c r="AH156" s="491"/>
      <c r="AI156" s="491"/>
      <c r="AJ156" s="491"/>
      <c r="AK156" s="491">
        <f>VLOOKUP(C156,[4]EQUIPAMENTOS!A$1:D$65536,4,FALSE)</f>
        <v>15.1364</v>
      </c>
      <c r="AL156" s="491"/>
      <c r="AM156" s="491"/>
      <c r="AN156" s="491"/>
      <c r="AO156" s="491">
        <f>ROUND((Y156*AG156+AC156*AK156)*V156,2)</f>
        <v>85.18</v>
      </c>
      <c r="AP156" s="491"/>
      <c r="AQ156" s="491"/>
      <c r="AR156" s="492"/>
    </row>
    <row r="157" spans="3:44" ht="18" customHeight="1">
      <c r="C157" s="444" t="s">
        <v>1379</v>
      </c>
      <c r="D157" s="445"/>
      <c r="E157" s="445"/>
      <c r="F157" s="493" t="s">
        <v>468</v>
      </c>
      <c r="G157" s="493"/>
      <c r="H157" s="493"/>
      <c r="I157" s="493"/>
      <c r="J157" s="493"/>
      <c r="K157" s="493"/>
      <c r="L157" s="493"/>
      <c r="M157" s="493"/>
      <c r="N157" s="493"/>
      <c r="O157" s="493"/>
      <c r="P157" s="493"/>
      <c r="Q157" s="493"/>
      <c r="R157" s="493"/>
      <c r="S157" s="493"/>
      <c r="T157" s="493"/>
      <c r="U157" s="493"/>
      <c r="V157" s="465">
        <v>1</v>
      </c>
      <c r="W157" s="465"/>
      <c r="X157" s="465"/>
      <c r="Y157" s="465">
        <v>0.3</v>
      </c>
      <c r="Z157" s="465"/>
      <c r="AA157" s="465"/>
      <c r="AB157" s="465"/>
      <c r="AC157" s="494">
        <f>1-Y157</f>
        <v>0.7</v>
      </c>
      <c r="AD157" s="494"/>
      <c r="AE157" s="494"/>
      <c r="AF157" s="494"/>
      <c r="AG157" s="491">
        <f>VLOOKUP(C157,[4]EQUIPAMENTOS!A$1:D$65536,3,FALSE)</f>
        <v>3.1082000000000001</v>
      </c>
      <c r="AH157" s="491"/>
      <c r="AI157" s="491"/>
      <c r="AJ157" s="491"/>
      <c r="AK157" s="491">
        <f>VLOOKUP(C157,[4]EQUIPAMENTOS!A$1:D$65536,4,FALSE)</f>
        <v>0</v>
      </c>
      <c r="AL157" s="491"/>
      <c r="AM157" s="491"/>
      <c r="AN157" s="491"/>
      <c r="AO157" s="491">
        <f>ROUND((Y157*AG157+AC157*AK157)*V157,2)</f>
        <v>0.93</v>
      </c>
      <c r="AP157" s="491"/>
      <c r="AQ157" s="491"/>
      <c r="AR157" s="492"/>
    </row>
    <row r="158" spans="3:44" ht="18" customHeight="1">
      <c r="C158" s="444"/>
      <c r="D158" s="445"/>
      <c r="E158" s="445"/>
      <c r="F158" s="463"/>
      <c r="G158" s="463"/>
      <c r="H158" s="463"/>
      <c r="I158" s="463"/>
      <c r="J158" s="463"/>
      <c r="K158" s="463"/>
      <c r="L158" s="463"/>
      <c r="M158" s="463"/>
      <c r="N158" s="463"/>
      <c r="O158" s="463"/>
      <c r="P158" s="463"/>
      <c r="Q158" s="463"/>
      <c r="R158" s="463"/>
      <c r="S158" s="463"/>
      <c r="T158" s="463"/>
      <c r="U158" s="463"/>
      <c r="V158" s="465"/>
      <c r="W158" s="465"/>
      <c r="X158" s="465"/>
      <c r="Y158" s="465"/>
      <c r="Z158" s="465"/>
      <c r="AA158" s="465"/>
      <c r="AB158" s="465"/>
      <c r="AC158" s="490"/>
      <c r="AD158" s="490"/>
      <c r="AE158" s="490"/>
      <c r="AF158" s="490"/>
      <c r="AG158" s="465"/>
      <c r="AH158" s="465"/>
      <c r="AI158" s="465"/>
      <c r="AJ158" s="465"/>
      <c r="AK158" s="465"/>
      <c r="AL158" s="465"/>
      <c r="AM158" s="465"/>
      <c r="AN158" s="465"/>
      <c r="AO158" s="465"/>
      <c r="AP158" s="465"/>
      <c r="AQ158" s="465"/>
      <c r="AR158" s="489"/>
    </row>
    <row r="159" spans="3:44" ht="18" customHeight="1">
      <c r="C159" s="444"/>
      <c r="D159" s="445"/>
      <c r="E159" s="445"/>
      <c r="F159" s="463"/>
      <c r="G159" s="463"/>
      <c r="H159" s="463"/>
      <c r="I159" s="463"/>
      <c r="J159" s="463"/>
      <c r="K159" s="463"/>
      <c r="L159" s="463"/>
      <c r="M159" s="463"/>
      <c r="N159" s="463"/>
      <c r="O159" s="463"/>
      <c r="P159" s="463"/>
      <c r="Q159" s="463"/>
      <c r="R159" s="463"/>
      <c r="S159" s="463"/>
      <c r="T159" s="463"/>
      <c r="U159" s="463"/>
      <c r="V159" s="465"/>
      <c r="W159" s="465"/>
      <c r="X159" s="465"/>
      <c r="Y159" s="465"/>
      <c r="Z159" s="465"/>
      <c r="AA159" s="465"/>
      <c r="AB159" s="465"/>
      <c r="AC159" s="490"/>
      <c r="AD159" s="490"/>
      <c r="AE159" s="490"/>
      <c r="AF159" s="490"/>
      <c r="AG159" s="465"/>
      <c r="AH159" s="465"/>
      <c r="AI159" s="465"/>
      <c r="AJ159" s="465"/>
      <c r="AK159" s="465"/>
      <c r="AL159" s="465"/>
      <c r="AM159" s="465"/>
      <c r="AN159" s="465"/>
      <c r="AO159" s="465"/>
      <c r="AP159" s="465"/>
      <c r="AQ159" s="465"/>
      <c r="AR159" s="489"/>
    </row>
    <row r="160" spans="3:44" ht="18" customHeight="1">
      <c r="C160" s="444"/>
      <c r="D160" s="445"/>
      <c r="E160" s="445"/>
      <c r="F160" s="463"/>
      <c r="G160" s="463"/>
      <c r="H160" s="463"/>
      <c r="I160" s="463"/>
      <c r="J160" s="463"/>
      <c r="K160" s="463"/>
      <c r="L160" s="463"/>
      <c r="M160" s="463"/>
      <c r="N160" s="463"/>
      <c r="O160" s="463"/>
      <c r="P160" s="463"/>
      <c r="Q160" s="463"/>
      <c r="R160" s="463"/>
      <c r="S160" s="463"/>
      <c r="T160" s="463"/>
      <c r="U160" s="463"/>
      <c r="V160" s="465"/>
      <c r="W160" s="465"/>
      <c r="X160" s="465"/>
      <c r="Y160" s="465"/>
      <c r="Z160" s="465"/>
      <c r="AA160" s="465"/>
      <c r="AB160" s="465"/>
      <c r="AC160" s="490"/>
      <c r="AD160" s="490"/>
      <c r="AE160" s="490"/>
      <c r="AF160" s="490"/>
      <c r="AG160" s="465"/>
      <c r="AH160" s="465"/>
      <c r="AI160" s="465"/>
      <c r="AJ160" s="465"/>
      <c r="AK160" s="465"/>
      <c r="AL160" s="465"/>
      <c r="AM160" s="465"/>
      <c r="AN160" s="465"/>
      <c r="AO160" s="465"/>
      <c r="AP160" s="465"/>
      <c r="AQ160" s="465"/>
      <c r="AR160" s="489"/>
    </row>
    <row r="161" spans="3:44" ht="18" customHeight="1">
      <c r="C161" s="444"/>
      <c r="D161" s="445"/>
      <c r="E161" s="445"/>
      <c r="F161" s="463"/>
      <c r="G161" s="463"/>
      <c r="H161" s="463"/>
      <c r="I161" s="463"/>
      <c r="J161" s="463"/>
      <c r="K161" s="463"/>
      <c r="L161" s="463"/>
      <c r="M161" s="463"/>
      <c r="N161" s="463"/>
      <c r="O161" s="463"/>
      <c r="P161" s="463"/>
      <c r="Q161" s="463"/>
      <c r="R161" s="463"/>
      <c r="S161" s="463"/>
      <c r="T161" s="463"/>
      <c r="U161" s="463"/>
      <c r="V161" s="465"/>
      <c r="W161" s="465"/>
      <c r="X161" s="465"/>
      <c r="Y161" s="465"/>
      <c r="Z161" s="465"/>
      <c r="AA161" s="465"/>
      <c r="AB161" s="465"/>
      <c r="AC161" s="490"/>
      <c r="AD161" s="490"/>
      <c r="AE161" s="490"/>
      <c r="AF161" s="490"/>
      <c r="AG161" s="465"/>
      <c r="AH161" s="465"/>
      <c r="AI161" s="465"/>
      <c r="AJ161" s="465"/>
      <c r="AK161" s="465"/>
      <c r="AL161" s="465"/>
      <c r="AM161" s="465"/>
      <c r="AN161" s="465"/>
      <c r="AO161" s="465"/>
      <c r="AP161" s="465"/>
      <c r="AQ161" s="465"/>
      <c r="AR161" s="489"/>
    </row>
    <row r="162" spans="3:44" ht="18" customHeight="1">
      <c r="C162" s="444"/>
      <c r="D162" s="445"/>
      <c r="E162" s="445"/>
      <c r="F162" s="463"/>
      <c r="G162" s="463"/>
      <c r="H162" s="463"/>
      <c r="I162" s="463"/>
      <c r="J162" s="463"/>
      <c r="K162" s="463"/>
      <c r="L162" s="463"/>
      <c r="M162" s="463"/>
      <c r="N162" s="463"/>
      <c r="O162" s="463"/>
      <c r="P162" s="463"/>
      <c r="Q162" s="463"/>
      <c r="R162" s="463"/>
      <c r="S162" s="463"/>
      <c r="T162" s="463"/>
      <c r="U162" s="463"/>
      <c r="V162" s="465"/>
      <c r="W162" s="465"/>
      <c r="X162" s="465"/>
      <c r="Y162" s="465"/>
      <c r="Z162" s="465"/>
      <c r="AA162" s="465"/>
      <c r="AB162" s="465"/>
      <c r="AC162" s="490"/>
      <c r="AD162" s="490"/>
      <c r="AE162" s="490"/>
      <c r="AF162" s="490"/>
      <c r="AG162" s="465"/>
      <c r="AH162" s="465"/>
      <c r="AI162" s="465"/>
      <c r="AJ162" s="465"/>
      <c r="AK162" s="465"/>
      <c r="AL162" s="465"/>
      <c r="AM162" s="465"/>
      <c r="AN162" s="465"/>
      <c r="AO162" s="465"/>
      <c r="AP162" s="465"/>
      <c r="AQ162" s="465"/>
      <c r="AR162" s="489"/>
    </row>
    <row r="163" spans="3:44" ht="18" customHeight="1">
      <c r="C163" s="427"/>
      <c r="D163" s="428"/>
      <c r="E163" s="428"/>
      <c r="F163" s="428"/>
      <c r="G163" s="428"/>
      <c r="H163" s="428"/>
      <c r="I163" s="428"/>
      <c r="J163" s="428"/>
      <c r="K163" s="428"/>
      <c r="L163" s="428"/>
      <c r="M163" s="428"/>
      <c r="N163" s="428"/>
      <c r="O163" s="428"/>
      <c r="P163" s="428"/>
      <c r="Q163" s="428"/>
      <c r="R163" s="428"/>
      <c r="S163" s="428"/>
      <c r="T163" s="428"/>
      <c r="U163" s="428"/>
      <c r="V163" s="428"/>
      <c r="W163" s="428"/>
      <c r="X163" s="428"/>
      <c r="Y163" s="495" t="s">
        <v>74</v>
      </c>
      <c r="Z163" s="495"/>
      <c r="AA163" s="495"/>
      <c r="AB163" s="495"/>
      <c r="AC163" s="495"/>
      <c r="AD163" s="495"/>
      <c r="AE163" s="495"/>
      <c r="AF163" s="495"/>
      <c r="AG163" s="495"/>
      <c r="AH163" s="495"/>
      <c r="AI163" s="495"/>
      <c r="AJ163" s="495"/>
      <c r="AK163" s="495"/>
      <c r="AL163" s="495"/>
      <c r="AM163" s="495"/>
      <c r="AN163" s="495"/>
      <c r="AO163" s="432">
        <f>SUM(AO155:AR162)</f>
        <v>103.03000000000002</v>
      </c>
      <c r="AP163" s="432"/>
      <c r="AQ163" s="432"/>
      <c r="AR163" s="433"/>
    </row>
    <row r="165" spans="3:44" ht="18" customHeight="1">
      <c r="C165" s="461" t="s">
        <v>43</v>
      </c>
      <c r="D165" s="451"/>
      <c r="E165" s="451"/>
      <c r="F165" s="451" t="s">
        <v>75</v>
      </c>
      <c r="G165" s="451"/>
      <c r="H165" s="451"/>
      <c r="I165" s="451"/>
      <c r="J165" s="451"/>
      <c r="K165" s="451"/>
      <c r="L165" s="451"/>
      <c r="M165" s="451"/>
      <c r="N165" s="451"/>
      <c r="O165" s="451"/>
      <c r="P165" s="451"/>
      <c r="Q165" s="451"/>
      <c r="R165" s="451"/>
      <c r="S165" s="451"/>
      <c r="T165" s="451"/>
      <c r="U165" s="451"/>
      <c r="V165" s="451"/>
      <c r="W165" s="451"/>
      <c r="X165" s="451"/>
      <c r="Y165" s="451"/>
      <c r="Z165" s="451"/>
      <c r="AA165" s="451"/>
      <c r="AB165" s="451"/>
      <c r="AC165" s="451" t="s">
        <v>76</v>
      </c>
      <c r="AD165" s="451"/>
      <c r="AE165" s="451"/>
      <c r="AF165" s="451"/>
      <c r="AG165" s="451" t="s">
        <v>249</v>
      </c>
      <c r="AH165" s="451"/>
      <c r="AI165" s="451"/>
      <c r="AJ165" s="451"/>
      <c r="AK165" s="451" t="s">
        <v>77</v>
      </c>
      <c r="AL165" s="451"/>
      <c r="AM165" s="451"/>
      <c r="AN165" s="451"/>
      <c r="AO165" s="451" t="s">
        <v>71</v>
      </c>
      <c r="AP165" s="451"/>
      <c r="AQ165" s="451"/>
      <c r="AR165" s="453"/>
    </row>
    <row r="166" spans="3:44" ht="18" customHeight="1">
      <c r="C166" s="462"/>
      <c r="D166" s="452"/>
      <c r="E166" s="452"/>
      <c r="F166" s="452"/>
      <c r="G166" s="452"/>
      <c r="H166" s="452"/>
      <c r="I166" s="452"/>
      <c r="J166" s="452"/>
      <c r="K166" s="452"/>
      <c r="L166" s="452"/>
      <c r="M166" s="452"/>
      <c r="N166" s="452"/>
      <c r="O166" s="452"/>
      <c r="P166" s="452"/>
      <c r="Q166" s="452"/>
      <c r="R166" s="452"/>
      <c r="S166" s="452"/>
      <c r="T166" s="452"/>
      <c r="U166" s="452"/>
      <c r="V166" s="452"/>
      <c r="W166" s="452"/>
      <c r="X166" s="452"/>
      <c r="Y166" s="452"/>
      <c r="Z166" s="452"/>
      <c r="AA166" s="452"/>
      <c r="AB166" s="452"/>
      <c r="AC166" s="452"/>
      <c r="AD166" s="452"/>
      <c r="AE166" s="452"/>
      <c r="AF166" s="452"/>
      <c r="AG166" s="452"/>
      <c r="AH166" s="452"/>
      <c r="AI166" s="452"/>
      <c r="AJ166" s="452"/>
      <c r="AK166" s="452"/>
      <c r="AL166" s="452"/>
      <c r="AM166" s="452"/>
      <c r="AN166" s="452"/>
      <c r="AO166" s="452"/>
      <c r="AP166" s="452"/>
      <c r="AQ166" s="452"/>
      <c r="AR166" s="454"/>
    </row>
    <row r="167" spans="3:44" ht="18" customHeight="1">
      <c r="C167" s="455" t="s">
        <v>940</v>
      </c>
      <c r="D167" s="456"/>
      <c r="E167" s="456"/>
      <c r="F167" s="493" t="s">
        <v>105</v>
      </c>
      <c r="G167" s="493"/>
      <c r="H167" s="493"/>
      <c r="I167" s="493"/>
      <c r="J167" s="493"/>
      <c r="K167" s="493"/>
      <c r="L167" s="493"/>
      <c r="M167" s="493"/>
      <c r="N167" s="493"/>
      <c r="O167" s="493"/>
      <c r="P167" s="493"/>
      <c r="Q167" s="493"/>
      <c r="R167" s="493"/>
      <c r="S167" s="493"/>
      <c r="T167" s="493"/>
      <c r="U167" s="493"/>
      <c r="V167" s="493"/>
      <c r="W167" s="493"/>
      <c r="X167" s="493"/>
      <c r="Y167" s="493"/>
      <c r="Z167" s="493"/>
      <c r="AA167" s="493"/>
      <c r="AB167" s="493"/>
      <c r="AC167" s="449"/>
      <c r="AD167" s="449"/>
      <c r="AE167" s="449"/>
      <c r="AF167" s="449"/>
      <c r="AG167" s="449">
        <v>1</v>
      </c>
      <c r="AH167" s="449"/>
      <c r="AI167" s="449"/>
      <c r="AJ167" s="449"/>
      <c r="AK167" s="449">
        <f>VLOOKUP(C167,[4]MÃODEOBRA!A$1:D$65536,4,FALSE)</f>
        <v>22.98488</v>
      </c>
      <c r="AL167" s="449"/>
      <c r="AM167" s="449"/>
      <c r="AN167" s="449"/>
      <c r="AO167" s="491">
        <f>ROUND(AG167*AK167,2)</f>
        <v>22.98</v>
      </c>
      <c r="AP167" s="491"/>
      <c r="AQ167" s="491"/>
      <c r="AR167" s="492"/>
    </row>
    <row r="168" spans="3:44" ht="18" customHeight="1">
      <c r="C168" s="444" t="s">
        <v>1380</v>
      </c>
      <c r="D168" s="445"/>
      <c r="E168" s="445"/>
      <c r="F168" s="493" t="s">
        <v>469</v>
      </c>
      <c r="G168" s="493"/>
      <c r="H168" s="493"/>
      <c r="I168" s="493"/>
      <c r="J168" s="493"/>
      <c r="K168" s="493"/>
      <c r="L168" s="493"/>
      <c r="M168" s="493"/>
      <c r="N168" s="493"/>
      <c r="O168" s="493"/>
      <c r="P168" s="493"/>
      <c r="Q168" s="493"/>
      <c r="R168" s="493"/>
      <c r="S168" s="493"/>
      <c r="T168" s="493"/>
      <c r="U168" s="493"/>
      <c r="V168" s="493"/>
      <c r="W168" s="493"/>
      <c r="X168" s="493"/>
      <c r="Y168" s="493"/>
      <c r="Z168" s="493"/>
      <c r="AA168" s="493"/>
      <c r="AB168" s="493"/>
      <c r="AC168" s="425"/>
      <c r="AD168" s="425"/>
      <c r="AE168" s="425"/>
      <c r="AF168" s="425"/>
      <c r="AG168" s="425">
        <v>1</v>
      </c>
      <c r="AH168" s="425"/>
      <c r="AI168" s="425"/>
      <c r="AJ168" s="425"/>
      <c r="AK168" s="449">
        <f>VLOOKUP(C168,[4]MÃODEOBRA!A$1:D$65536,4,FALSE)</f>
        <v>11.156079999999999</v>
      </c>
      <c r="AL168" s="449"/>
      <c r="AM168" s="449"/>
      <c r="AN168" s="449"/>
      <c r="AO168" s="491">
        <f>ROUND(AG168*AK168,2)</f>
        <v>11.16</v>
      </c>
      <c r="AP168" s="491"/>
      <c r="AQ168" s="491"/>
      <c r="AR168" s="492"/>
    </row>
    <row r="169" spans="3:44" ht="18" customHeight="1">
      <c r="C169" s="444" t="s">
        <v>1375</v>
      </c>
      <c r="D169" s="445"/>
      <c r="E169" s="445"/>
      <c r="F169" s="463" t="s">
        <v>106</v>
      </c>
      <c r="G169" s="463"/>
      <c r="H169" s="463"/>
      <c r="I169" s="463"/>
      <c r="J169" s="463"/>
      <c r="K169" s="463"/>
      <c r="L169" s="463"/>
      <c r="M169" s="463"/>
      <c r="N169" s="463"/>
      <c r="O169" s="463"/>
      <c r="P169" s="463"/>
      <c r="Q169" s="463"/>
      <c r="R169" s="463"/>
      <c r="S169" s="463"/>
      <c r="T169" s="463"/>
      <c r="U169" s="463"/>
      <c r="V169" s="463"/>
      <c r="W169" s="463"/>
      <c r="X169" s="463"/>
      <c r="Y169" s="463"/>
      <c r="Z169" s="463"/>
      <c r="AA169" s="463"/>
      <c r="AB169" s="463"/>
      <c r="AC169" s="425"/>
      <c r="AD169" s="425"/>
      <c r="AE169" s="425"/>
      <c r="AF169" s="425"/>
      <c r="AG169" s="425">
        <v>2.8</v>
      </c>
      <c r="AH169" s="425"/>
      <c r="AI169" s="425"/>
      <c r="AJ169" s="425"/>
      <c r="AK169" s="449">
        <f>VLOOKUP(C169,[4]MÃODEOBRA!A$1:D$65536,4,FALSE)</f>
        <v>7.90456</v>
      </c>
      <c r="AL169" s="449"/>
      <c r="AM169" s="449"/>
      <c r="AN169" s="449"/>
      <c r="AO169" s="491">
        <f>ROUND(AG169*AK169,2)</f>
        <v>22.13</v>
      </c>
      <c r="AP169" s="491"/>
      <c r="AQ169" s="491"/>
      <c r="AR169" s="492"/>
    </row>
    <row r="170" spans="3:44" ht="18" customHeight="1">
      <c r="C170" s="444" t="s">
        <v>943</v>
      </c>
      <c r="D170" s="445"/>
      <c r="E170" s="445"/>
      <c r="F170" s="463" t="s">
        <v>128</v>
      </c>
      <c r="G170" s="463"/>
      <c r="H170" s="463"/>
      <c r="I170" s="463"/>
      <c r="J170" s="463"/>
      <c r="K170" s="463"/>
      <c r="L170" s="463"/>
      <c r="M170" s="463"/>
      <c r="N170" s="463"/>
      <c r="O170" s="463"/>
      <c r="P170" s="463"/>
      <c r="Q170" s="463"/>
      <c r="R170" s="463"/>
      <c r="S170" s="463"/>
      <c r="T170" s="463"/>
      <c r="U170" s="463"/>
      <c r="V170" s="463"/>
      <c r="W170" s="463"/>
      <c r="X170" s="463"/>
      <c r="Y170" s="463"/>
      <c r="Z170" s="463"/>
      <c r="AA170" s="463"/>
      <c r="AB170" s="463"/>
      <c r="AC170" s="425"/>
      <c r="AD170" s="425"/>
      <c r="AE170" s="425"/>
      <c r="AF170" s="425"/>
      <c r="AG170" s="425">
        <v>2</v>
      </c>
      <c r="AH170" s="425"/>
      <c r="AI170" s="425"/>
      <c r="AJ170" s="425"/>
      <c r="AK170" s="449">
        <f>VLOOKUP(C170,[4]MÃODEOBRA!A$1:D$65536,4,FALSE)</f>
        <v>8.6333500000000001</v>
      </c>
      <c r="AL170" s="449"/>
      <c r="AM170" s="449"/>
      <c r="AN170" s="449"/>
      <c r="AO170" s="491">
        <f>ROUND(AG170*AK170,2)</f>
        <v>17.27</v>
      </c>
      <c r="AP170" s="491"/>
      <c r="AQ170" s="491"/>
      <c r="AR170" s="492"/>
    </row>
    <row r="171" spans="3:44" ht="18" customHeight="1">
      <c r="C171" s="444"/>
      <c r="D171" s="445"/>
      <c r="E171" s="445"/>
      <c r="F171" s="463"/>
      <c r="G171" s="463"/>
      <c r="H171" s="463"/>
      <c r="I171" s="463"/>
      <c r="J171" s="463"/>
      <c r="K171" s="463"/>
      <c r="L171" s="463"/>
      <c r="M171" s="463"/>
      <c r="N171" s="463"/>
      <c r="O171" s="463"/>
      <c r="P171" s="463"/>
      <c r="Q171" s="463"/>
      <c r="R171" s="463"/>
      <c r="S171" s="463"/>
      <c r="T171" s="463"/>
      <c r="U171" s="463"/>
      <c r="V171" s="463"/>
      <c r="W171" s="463"/>
      <c r="X171" s="463"/>
      <c r="Y171" s="463"/>
      <c r="Z171" s="463"/>
      <c r="AA171" s="463"/>
      <c r="AB171" s="463"/>
      <c r="AC171" s="425"/>
      <c r="AD171" s="425"/>
      <c r="AE171" s="425"/>
      <c r="AF171" s="425"/>
      <c r="AG171" s="425"/>
      <c r="AH171" s="425"/>
      <c r="AI171" s="425"/>
      <c r="AJ171" s="425"/>
      <c r="AK171" s="425"/>
      <c r="AL171" s="425"/>
      <c r="AM171" s="425"/>
      <c r="AN171" s="425"/>
      <c r="AO171" s="465"/>
      <c r="AP171" s="465"/>
      <c r="AQ171" s="465"/>
      <c r="AR171" s="489"/>
    </row>
    <row r="172" spans="3:44" ht="18" customHeight="1">
      <c r="C172" s="444"/>
      <c r="D172" s="445"/>
      <c r="E172" s="445"/>
      <c r="F172" s="463"/>
      <c r="G172" s="463"/>
      <c r="H172" s="463"/>
      <c r="I172" s="463"/>
      <c r="J172" s="463"/>
      <c r="K172" s="463"/>
      <c r="L172" s="463"/>
      <c r="M172" s="463"/>
      <c r="N172" s="463"/>
      <c r="O172" s="463"/>
      <c r="P172" s="463"/>
      <c r="Q172" s="463"/>
      <c r="R172" s="463"/>
      <c r="S172" s="463"/>
      <c r="T172" s="463"/>
      <c r="U172" s="463"/>
      <c r="V172" s="463"/>
      <c r="W172" s="463"/>
      <c r="X172" s="463"/>
      <c r="Y172" s="463"/>
      <c r="Z172" s="463"/>
      <c r="AA172" s="463"/>
      <c r="AB172" s="463"/>
      <c r="AC172" s="425"/>
      <c r="AD172" s="425"/>
      <c r="AE172" s="425"/>
      <c r="AF172" s="425"/>
      <c r="AG172" s="425"/>
      <c r="AH172" s="425"/>
      <c r="AI172" s="425"/>
      <c r="AJ172" s="425"/>
      <c r="AK172" s="425"/>
      <c r="AL172" s="425"/>
      <c r="AM172" s="425"/>
      <c r="AN172" s="425"/>
      <c r="AO172" s="465"/>
      <c r="AP172" s="465"/>
      <c r="AQ172" s="465"/>
      <c r="AR172" s="489"/>
    </row>
    <row r="173" spans="3:44" ht="18" customHeight="1">
      <c r="C173" s="444"/>
      <c r="D173" s="445"/>
      <c r="E173" s="445"/>
      <c r="F173" s="463"/>
      <c r="G173" s="463"/>
      <c r="H173" s="463"/>
      <c r="I173" s="463"/>
      <c r="J173" s="463"/>
      <c r="K173" s="463"/>
      <c r="L173" s="463"/>
      <c r="M173" s="463"/>
      <c r="N173" s="463"/>
      <c r="O173" s="463"/>
      <c r="P173" s="463"/>
      <c r="Q173" s="463"/>
      <c r="R173" s="463"/>
      <c r="S173" s="463"/>
      <c r="T173" s="463"/>
      <c r="U173" s="463"/>
      <c r="V173" s="463"/>
      <c r="W173" s="463"/>
      <c r="X173" s="463"/>
      <c r="Y173" s="463"/>
      <c r="Z173" s="463"/>
      <c r="AA173" s="463"/>
      <c r="AB173" s="463"/>
      <c r="AC173" s="425"/>
      <c r="AD173" s="425"/>
      <c r="AE173" s="425"/>
      <c r="AF173" s="425"/>
      <c r="AG173" s="425"/>
      <c r="AH173" s="425"/>
      <c r="AI173" s="425"/>
      <c r="AJ173" s="425"/>
      <c r="AK173" s="425"/>
      <c r="AL173" s="425"/>
      <c r="AM173" s="425"/>
      <c r="AN173" s="425"/>
      <c r="AO173" s="465"/>
      <c r="AP173" s="465"/>
      <c r="AQ173" s="465"/>
      <c r="AR173" s="489"/>
    </row>
    <row r="174" spans="3:44" ht="18" customHeight="1">
      <c r="C174" s="444"/>
      <c r="D174" s="445"/>
      <c r="E174" s="445"/>
      <c r="F174" s="463"/>
      <c r="G174" s="463"/>
      <c r="H174" s="463"/>
      <c r="I174" s="463"/>
      <c r="J174" s="463"/>
      <c r="K174" s="463"/>
      <c r="L174" s="463"/>
      <c r="M174" s="463"/>
      <c r="N174" s="463"/>
      <c r="O174" s="463"/>
      <c r="P174" s="463"/>
      <c r="Q174" s="463"/>
      <c r="R174" s="463"/>
      <c r="S174" s="463"/>
      <c r="T174" s="463"/>
      <c r="U174" s="463"/>
      <c r="V174" s="463"/>
      <c r="W174" s="463"/>
      <c r="X174" s="463"/>
      <c r="Y174" s="463"/>
      <c r="Z174" s="463"/>
      <c r="AA174" s="463"/>
      <c r="AB174" s="463"/>
      <c r="AC174" s="425"/>
      <c r="AD174" s="425"/>
      <c r="AE174" s="425"/>
      <c r="AF174" s="425"/>
      <c r="AG174" s="425"/>
      <c r="AH174" s="425"/>
      <c r="AI174" s="425"/>
      <c r="AJ174" s="425"/>
      <c r="AK174" s="425"/>
      <c r="AL174" s="425"/>
      <c r="AM174" s="425"/>
      <c r="AN174" s="425"/>
      <c r="AO174" s="465"/>
      <c r="AP174" s="465"/>
      <c r="AQ174" s="465"/>
      <c r="AR174" s="489"/>
    </row>
    <row r="175" spans="3:44" ht="18" customHeight="1">
      <c r="C175" s="480"/>
      <c r="D175" s="481"/>
      <c r="E175" s="481"/>
      <c r="F175" s="481"/>
      <c r="G175" s="481"/>
      <c r="H175" s="481"/>
      <c r="I175" s="481"/>
      <c r="J175" s="481"/>
      <c r="K175" s="481"/>
      <c r="L175" s="481"/>
      <c r="M175" s="481"/>
      <c r="N175" s="481"/>
      <c r="O175" s="481"/>
      <c r="P175" s="481"/>
      <c r="Q175" s="481"/>
      <c r="R175" s="481"/>
      <c r="S175" s="481"/>
      <c r="T175" s="481"/>
      <c r="U175" s="481"/>
      <c r="V175" s="481"/>
      <c r="W175" s="481"/>
      <c r="X175" s="482"/>
      <c r="Y175" s="483" t="s">
        <v>78</v>
      </c>
      <c r="Z175" s="484"/>
      <c r="AA175" s="484"/>
      <c r="AB175" s="484"/>
      <c r="AC175" s="484"/>
      <c r="AD175" s="484"/>
      <c r="AE175" s="484"/>
      <c r="AF175" s="484"/>
      <c r="AG175" s="485" t="s">
        <v>267</v>
      </c>
      <c r="AH175" s="485"/>
      <c r="AI175" s="485"/>
      <c r="AJ175" s="485"/>
      <c r="AK175" s="465">
        <f>SUM(AO167:AR174)</f>
        <v>73.539999999999992</v>
      </c>
      <c r="AL175" s="486"/>
      <c r="AM175" s="486"/>
      <c r="AN175" s="486"/>
      <c r="AO175" s="487">
        <f>ROUND(AG175*AK175,2)</f>
        <v>15.08</v>
      </c>
      <c r="AP175" s="487"/>
      <c r="AQ175" s="487"/>
      <c r="AR175" s="488"/>
    </row>
    <row r="176" spans="3:44" ht="18" customHeight="1">
      <c r="C176" s="427"/>
      <c r="D176" s="428"/>
      <c r="E176" s="428"/>
      <c r="F176" s="428"/>
      <c r="G176" s="428"/>
      <c r="H176" s="428"/>
      <c r="I176" s="428"/>
      <c r="J176" s="428"/>
      <c r="K176" s="428"/>
      <c r="L176" s="428"/>
      <c r="M176" s="428"/>
      <c r="N176" s="428"/>
      <c r="O176" s="428"/>
      <c r="P176" s="428"/>
      <c r="Q176" s="428"/>
      <c r="R176" s="428"/>
      <c r="S176" s="428"/>
      <c r="T176" s="428"/>
      <c r="U176" s="428"/>
      <c r="V176" s="428"/>
      <c r="W176" s="428"/>
      <c r="X176" s="429"/>
      <c r="Y176" s="430" t="s">
        <v>79</v>
      </c>
      <c r="Z176" s="431"/>
      <c r="AA176" s="431"/>
      <c r="AB176" s="431"/>
      <c r="AC176" s="431"/>
      <c r="AD176" s="431"/>
      <c r="AE176" s="431"/>
      <c r="AF176" s="431"/>
      <c r="AG176" s="431"/>
      <c r="AH176" s="431"/>
      <c r="AI176" s="431"/>
      <c r="AJ176" s="431"/>
      <c r="AK176" s="431"/>
      <c r="AL176" s="431"/>
      <c r="AM176" s="431"/>
      <c r="AN176" s="431"/>
      <c r="AO176" s="432">
        <f>SUM(AO167:AR175)</f>
        <v>88.61999999999999</v>
      </c>
      <c r="AP176" s="432"/>
      <c r="AQ176" s="432"/>
      <c r="AR176" s="433"/>
    </row>
    <row r="178" spans="3:44" ht="18" customHeight="1">
      <c r="C178" s="469"/>
      <c r="D178" s="470"/>
      <c r="E178" s="470"/>
      <c r="F178" s="470"/>
      <c r="G178" s="470"/>
      <c r="H178" s="470"/>
      <c r="I178" s="470"/>
      <c r="J178" s="470"/>
      <c r="K178" s="470"/>
      <c r="L178" s="470"/>
      <c r="M178" s="470"/>
      <c r="N178" s="470"/>
      <c r="O178" s="470"/>
      <c r="P178" s="470"/>
      <c r="Q178" s="470"/>
      <c r="R178" s="470"/>
      <c r="S178" s="470"/>
      <c r="T178" s="470"/>
      <c r="U178" s="470"/>
      <c r="V178" s="470"/>
      <c r="W178" s="470"/>
      <c r="X178" s="471"/>
      <c r="Y178" s="472" t="s">
        <v>80</v>
      </c>
      <c r="Z178" s="472"/>
      <c r="AA178" s="472"/>
      <c r="AB178" s="472"/>
      <c r="AC178" s="472"/>
      <c r="AD178" s="472"/>
      <c r="AE178" s="472"/>
      <c r="AF178" s="472"/>
      <c r="AG178" s="472"/>
      <c r="AH178" s="472"/>
      <c r="AI178" s="472"/>
      <c r="AJ178" s="472"/>
      <c r="AK178" s="472"/>
      <c r="AL178" s="472"/>
      <c r="AM178" s="472"/>
      <c r="AN178" s="472"/>
      <c r="AO178" s="473">
        <f>AO163+AO176</f>
        <v>191.65</v>
      </c>
      <c r="AP178" s="474"/>
      <c r="AQ178" s="474"/>
      <c r="AR178" s="475"/>
    </row>
    <row r="179" spans="3:44" ht="18" customHeight="1">
      <c r="C179" s="476" t="s">
        <v>81</v>
      </c>
      <c r="D179" s="431"/>
      <c r="E179" s="431"/>
      <c r="F179" s="431"/>
      <c r="G179" s="431"/>
      <c r="H179" s="431"/>
      <c r="I179" s="431"/>
      <c r="J179" s="431"/>
      <c r="K179" s="431"/>
      <c r="L179" s="431"/>
      <c r="M179" s="431"/>
      <c r="N179" s="431"/>
      <c r="O179" s="431"/>
      <c r="P179" s="431"/>
      <c r="Q179" s="432">
        <v>1</v>
      </c>
      <c r="R179" s="432"/>
      <c r="S179" s="432"/>
      <c r="T179" s="432"/>
      <c r="U179" s="477"/>
      <c r="V179" s="430" t="s">
        <v>189</v>
      </c>
      <c r="W179" s="431"/>
      <c r="X179" s="431"/>
      <c r="Y179" s="472" t="s">
        <v>82</v>
      </c>
      <c r="Z179" s="472"/>
      <c r="AA179" s="472"/>
      <c r="AB179" s="472"/>
      <c r="AC179" s="472"/>
      <c r="AD179" s="472"/>
      <c r="AE179" s="472"/>
      <c r="AF179" s="472"/>
      <c r="AG179" s="472"/>
      <c r="AH179" s="472"/>
      <c r="AI179" s="472"/>
      <c r="AJ179" s="472"/>
      <c r="AK179" s="472"/>
      <c r="AL179" s="472"/>
      <c r="AM179" s="472"/>
      <c r="AN179" s="472"/>
      <c r="AO179" s="478">
        <f>ROUND(AO178/Q179,2)</f>
        <v>191.65</v>
      </c>
      <c r="AP179" s="478"/>
      <c r="AQ179" s="478"/>
      <c r="AR179" s="479"/>
    </row>
    <row r="181" spans="3:44" ht="18" customHeight="1">
      <c r="C181" s="461" t="s">
        <v>43</v>
      </c>
      <c r="D181" s="451"/>
      <c r="E181" s="451"/>
      <c r="F181" s="451" t="s">
        <v>83</v>
      </c>
      <c r="G181" s="451"/>
      <c r="H181" s="451"/>
      <c r="I181" s="451"/>
      <c r="J181" s="451"/>
      <c r="K181" s="451"/>
      <c r="L181" s="451"/>
      <c r="M181" s="451"/>
      <c r="N181" s="451"/>
      <c r="O181" s="451"/>
      <c r="P181" s="451"/>
      <c r="Q181" s="451"/>
      <c r="R181" s="451"/>
      <c r="S181" s="451"/>
      <c r="T181" s="451"/>
      <c r="U181" s="451"/>
      <c r="V181" s="451"/>
      <c r="W181" s="451"/>
      <c r="X181" s="451"/>
      <c r="Y181" s="451"/>
      <c r="Z181" s="451"/>
      <c r="AA181" s="451"/>
      <c r="AB181" s="451"/>
      <c r="AC181" s="451" t="s">
        <v>84</v>
      </c>
      <c r="AD181" s="451"/>
      <c r="AE181" s="451"/>
      <c r="AF181" s="451"/>
      <c r="AG181" s="451" t="s">
        <v>85</v>
      </c>
      <c r="AH181" s="451"/>
      <c r="AI181" s="451"/>
      <c r="AJ181" s="451"/>
      <c r="AK181" s="451" t="s">
        <v>86</v>
      </c>
      <c r="AL181" s="451"/>
      <c r="AM181" s="451"/>
      <c r="AN181" s="451"/>
      <c r="AO181" s="451" t="s">
        <v>87</v>
      </c>
      <c r="AP181" s="451"/>
      <c r="AQ181" s="451"/>
      <c r="AR181" s="453"/>
    </row>
    <row r="182" spans="3:44" ht="18" customHeight="1">
      <c r="C182" s="462"/>
      <c r="D182" s="452"/>
      <c r="E182" s="452"/>
      <c r="F182" s="452"/>
      <c r="G182" s="452"/>
      <c r="H182" s="452"/>
      <c r="I182" s="452"/>
      <c r="J182" s="452"/>
      <c r="K182" s="452"/>
      <c r="L182" s="452"/>
      <c r="M182" s="452"/>
      <c r="N182" s="452"/>
      <c r="O182" s="452"/>
      <c r="P182" s="452"/>
      <c r="Q182" s="452"/>
      <c r="R182" s="452"/>
      <c r="S182" s="452"/>
      <c r="T182" s="452"/>
      <c r="U182" s="452"/>
      <c r="V182" s="452"/>
      <c r="W182" s="452"/>
      <c r="X182" s="452"/>
      <c r="Y182" s="452"/>
      <c r="Z182" s="452"/>
      <c r="AA182" s="452"/>
      <c r="AB182" s="452"/>
      <c r="AC182" s="452"/>
      <c r="AD182" s="452"/>
      <c r="AE182" s="452"/>
      <c r="AF182" s="452"/>
      <c r="AG182" s="452"/>
      <c r="AH182" s="452"/>
      <c r="AI182" s="452"/>
      <c r="AJ182" s="452"/>
      <c r="AK182" s="452"/>
      <c r="AL182" s="452"/>
      <c r="AM182" s="452"/>
      <c r="AN182" s="452"/>
      <c r="AO182" s="452"/>
      <c r="AP182" s="452"/>
      <c r="AQ182" s="452"/>
      <c r="AR182" s="454"/>
    </row>
    <row r="183" spans="3:44" ht="18" customHeight="1">
      <c r="C183" s="455" t="s">
        <v>238</v>
      </c>
      <c r="D183" s="456"/>
      <c r="E183" s="456"/>
      <c r="F183" s="463" t="s">
        <v>583</v>
      </c>
      <c r="G183" s="463"/>
      <c r="H183" s="463"/>
      <c r="I183" s="463"/>
      <c r="J183" s="463"/>
      <c r="K183" s="463"/>
      <c r="L183" s="463"/>
      <c r="M183" s="463"/>
      <c r="N183" s="463"/>
      <c r="O183" s="463"/>
      <c r="P183" s="463"/>
      <c r="Q183" s="463"/>
      <c r="R183" s="463"/>
      <c r="S183" s="463"/>
      <c r="T183" s="463"/>
      <c r="U183" s="463"/>
      <c r="V183" s="463"/>
      <c r="W183" s="463"/>
      <c r="X183" s="463"/>
      <c r="Y183" s="463"/>
      <c r="Z183" s="463"/>
      <c r="AA183" s="463"/>
      <c r="AB183" s="463"/>
      <c r="AC183" s="464" t="s">
        <v>246</v>
      </c>
      <c r="AD183" s="464"/>
      <c r="AE183" s="464"/>
      <c r="AF183" s="464"/>
      <c r="AG183" s="465">
        <v>4.3899999999999997</v>
      </c>
      <c r="AH183" s="465"/>
      <c r="AI183" s="465"/>
      <c r="AJ183" s="465"/>
      <c r="AK183" s="424">
        <v>62.4</v>
      </c>
      <c r="AL183" s="424"/>
      <c r="AM183" s="424"/>
      <c r="AN183" s="424"/>
      <c r="AO183" s="449">
        <f>ROUND(AG183*AK183,2)</f>
        <v>273.94</v>
      </c>
      <c r="AP183" s="449"/>
      <c r="AQ183" s="449"/>
      <c r="AR183" s="450"/>
    </row>
    <row r="184" spans="3:44" ht="18" customHeight="1">
      <c r="C184" s="444" t="s">
        <v>238</v>
      </c>
      <c r="D184" s="445"/>
      <c r="E184" s="445"/>
      <c r="F184" s="463" t="s">
        <v>676</v>
      </c>
      <c r="G184" s="463"/>
      <c r="H184" s="463"/>
      <c r="I184" s="463"/>
      <c r="J184" s="463"/>
      <c r="K184" s="463"/>
      <c r="L184" s="463"/>
      <c r="M184" s="463"/>
      <c r="N184" s="463"/>
      <c r="O184" s="463"/>
      <c r="P184" s="463"/>
      <c r="Q184" s="463"/>
      <c r="R184" s="463"/>
      <c r="S184" s="463"/>
      <c r="T184" s="463"/>
      <c r="U184" s="463"/>
      <c r="V184" s="463"/>
      <c r="W184" s="463"/>
      <c r="X184" s="463"/>
      <c r="Y184" s="463"/>
      <c r="Z184" s="463"/>
      <c r="AA184" s="463"/>
      <c r="AB184" s="463"/>
      <c r="AC184" s="464" t="s">
        <v>246</v>
      </c>
      <c r="AD184" s="464"/>
      <c r="AE184" s="464"/>
      <c r="AF184" s="464"/>
      <c r="AG184" s="465">
        <v>2.52</v>
      </c>
      <c r="AH184" s="465"/>
      <c r="AI184" s="465"/>
      <c r="AJ184" s="465"/>
      <c r="AK184" s="424">
        <v>0.5</v>
      </c>
      <c r="AL184" s="424"/>
      <c r="AM184" s="424"/>
      <c r="AN184" s="424"/>
      <c r="AO184" s="449">
        <f>ROUND(AG184*AK184,2)</f>
        <v>1.26</v>
      </c>
      <c r="AP184" s="449"/>
      <c r="AQ184" s="449"/>
      <c r="AR184" s="450"/>
    </row>
    <row r="185" spans="3:44" ht="18" customHeight="1">
      <c r="C185" s="455" t="s">
        <v>1404</v>
      </c>
      <c r="D185" s="456"/>
      <c r="E185" s="456"/>
      <c r="F185" s="463" t="s">
        <v>584</v>
      </c>
      <c r="G185" s="463"/>
      <c r="H185" s="463"/>
      <c r="I185" s="463"/>
      <c r="J185" s="463"/>
      <c r="K185" s="463"/>
      <c r="L185" s="463"/>
      <c r="M185" s="463"/>
      <c r="N185" s="463"/>
      <c r="O185" s="463"/>
      <c r="P185" s="463"/>
      <c r="Q185" s="463"/>
      <c r="R185" s="463"/>
      <c r="S185" s="463"/>
      <c r="T185" s="463"/>
      <c r="U185" s="463"/>
      <c r="V185" s="463"/>
      <c r="W185" s="463"/>
      <c r="X185" s="463"/>
      <c r="Y185" s="463"/>
      <c r="Z185" s="463"/>
      <c r="AA185" s="463"/>
      <c r="AB185" s="463"/>
      <c r="AC185" s="464" t="s">
        <v>587</v>
      </c>
      <c r="AD185" s="464"/>
      <c r="AE185" s="464"/>
      <c r="AF185" s="464"/>
      <c r="AG185" s="466">
        <f>VLOOKUP(C185,[4]MATERIAL!A$1:D$65536,4,FALSE)</f>
        <v>12.08</v>
      </c>
      <c r="AH185" s="467"/>
      <c r="AI185" s="467"/>
      <c r="AJ185" s="468"/>
      <c r="AK185" s="424">
        <v>0.05</v>
      </c>
      <c r="AL185" s="424"/>
      <c r="AM185" s="424"/>
      <c r="AN185" s="424"/>
      <c r="AO185" s="449">
        <f>ROUND(AG185*AK185,2)</f>
        <v>0.6</v>
      </c>
      <c r="AP185" s="449"/>
      <c r="AQ185" s="449"/>
      <c r="AR185" s="450"/>
    </row>
    <row r="186" spans="3:44" ht="18" customHeight="1">
      <c r="C186" s="455" t="s">
        <v>1405</v>
      </c>
      <c r="D186" s="456"/>
      <c r="E186" s="456"/>
      <c r="F186" s="463" t="s">
        <v>585</v>
      </c>
      <c r="G186" s="463"/>
      <c r="H186" s="463"/>
      <c r="I186" s="463"/>
      <c r="J186" s="463"/>
      <c r="K186" s="463"/>
      <c r="L186" s="463"/>
      <c r="M186" s="463"/>
      <c r="N186" s="463"/>
      <c r="O186" s="463"/>
      <c r="P186" s="463"/>
      <c r="Q186" s="463"/>
      <c r="R186" s="463"/>
      <c r="S186" s="463"/>
      <c r="T186" s="463"/>
      <c r="U186" s="463"/>
      <c r="V186" s="463"/>
      <c r="W186" s="463"/>
      <c r="X186" s="463"/>
      <c r="Y186" s="463"/>
      <c r="Z186" s="463"/>
      <c r="AA186" s="463"/>
      <c r="AB186" s="463"/>
      <c r="AC186" s="464" t="s">
        <v>246</v>
      </c>
      <c r="AD186" s="464"/>
      <c r="AE186" s="464"/>
      <c r="AF186" s="464"/>
      <c r="AG186" s="466">
        <f>VLOOKUP(C186,[4]MATERIAL!A$1:D$65536,4,FALSE)</f>
        <v>23.33</v>
      </c>
      <c r="AH186" s="467"/>
      <c r="AI186" s="467"/>
      <c r="AJ186" s="468"/>
      <c r="AK186" s="424">
        <v>0.03</v>
      </c>
      <c r="AL186" s="424"/>
      <c r="AM186" s="424"/>
      <c r="AN186" s="424"/>
      <c r="AO186" s="449">
        <f>ROUND(AG186*AK186,2)</f>
        <v>0.7</v>
      </c>
      <c r="AP186" s="449"/>
      <c r="AQ186" s="449"/>
      <c r="AR186" s="450"/>
    </row>
    <row r="187" spans="3:44" ht="18" customHeight="1">
      <c r="C187" s="455" t="s">
        <v>1382</v>
      </c>
      <c r="D187" s="456"/>
      <c r="E187" s="456"/>
      <c r="F187" s="463" t="s">
        <v>586</v>
      </c>
      <c r="G187" s="463"/>
      <c r="H187" s="463"/>
      <c r="I187" s="463"/>
      <c r="J187" s="463"/>
      <c r="K187" s="463"/>
      <c r="L187" s="463"/>
      <c r="M187" s="463"/>
      <c r="N187" s="463"/>
      <c r="O187" s="463"/>
      <c r="P187" s="463"/>
      <c r="Q187" s="463"/>
      <c r="R187" s="463"/>
      <c r="S187" s="463"/>
      <c r="T187" s="463"/>
      <c r="U187" s="463"/>
      <c r="V187" s="463"/>
      <c r="W187" s="463"/>
      <c r="X187" s="463"/>
      <c r="Y187" s="463"/>
      <c r="Z187" s="463"/>
      <c r="AA187" s="463"/>
      <c r="AB187" s="463"/>
      <c r="AC187" s="464" t="s">
        <v>246</v>
      </c>
      <c r="AD187" s="464"/>
      <c r="AE187" s="464"/>
      <c r="AF187" s="464"/>
      <c r="AG187" s="466">
        <f>VLOOKUP(C187,[4]MATERIAL!A$1:D$65536,4,FALSE)</f>
        <v>8.84</v>
      </c>
      <c r="AH187" s="467"/>
      <c r="AI187" s="467"/>
      <c r="AJ187" s="468"/>
      <c r="AK187" s="424">
        <v>0.15</v>
      </c>
      <c r="AL187" s="424"/>
      <c r="AM187" s="424"/>
      <c r="AN187" s="424"/>
      <c r="AO187" s="449">
        <f>ROUND(AG187*AK187,2)</f>
        <v>1.33</v>
      </c>
      <c r="AP187" s="449"/>
      <c r="AQ187" s="449"/>
      <c r="AR187" s="450"/>
    </row>
    <row r="188" spans="3:44" ht="18" customHeight="1">
      <c r="C188" s="444"/>
      <c r="D188" s="445"/>
      <c r="E188" s="445"/>
      <c r="F188" s="463"/>
      <c r="G188" s="463"/>
      <c r="H188" s="463"/>
      <c r="I188" s="463"/>
      <c r="J188" s="463"/>
      <c r="K188" s="463"/>
      <c r="L188" s="463"/>
      <c r="M188" s="463"/>
      <c r="N188" s="463"/>
      <c r="O188" s="463"/>
      <c r="P188" s="463"/>
      <c r="Q188" s="463"/>
      <c r="R188" s="463"/>
      <c r="S188" s="463"/>
      <c r="T188" s="463"/>
      <c r="U188" s="463"/>
      <c r="V188" s="463"/>
      <c r="W188" s="463"/>
      <c r="X188" s="463"/>
      <c r="Y188" s="463"/>
      <c r="Z188" s="463"/>
      <c r="AA188" s="463"/>
      <c r="AB188" s="463"/>
      <c r="AC188" s="464"/>
      <c r="AD188" s="464"/>
      <c r="AE188" s="464"/>
      <c r="AF188" s="464"/>
      <c r="AG188" s="465"/>
      <c r="AH188" s="465"/>
      <c r="AI188" s="465"/>
      <c r="AJ188" s="465"/>
      <c r="AK188" s="424"/>
      <c r="AL188" s="424"/>
      <c r="AM188" s="424"/>
      <c r="AN188" s="424"/>
      <c r="AO188" s="425"/>
      <c r="AP188" s="425"/>
      <c r="AQ188" s="425"/>
      <c r="AR188" s="426"/>
    </row>
    <row r="189" spans="3:44" ht="18" customHeight="1">
      <c r="C189" s="444"/>
      <c r="D189" s="445"/>
      <c r="E189" s="445"/>
      <c r="F189" s="463"/>
      <c r="G189" s="463"/>
      <c r="H189" s="463"/>
      <c r="I189" s="463"/>
      <c r="J189" s="463"/>
      <c r="K189" s="463"/>
      <c r="L189" s="463"/>
      <c r="M189" s="463"/>
      <c r="N189" s="463"/>
      <c r="O189" s="463"/>
      <c r="P189" s="463"/>
      <c r="Q189" s="463"/>
      <c r="R189" s="463"/>
      <c r="S189" s="463"/>
      <c r="T189" s="463"/>
      <c r="U189" s="463"/>
      <c r="V189" s="463"/>
      <c r="W189" s="463"/>
      <c r="X189" s="463"/>
      <c r="Y189" s="463"/>
      <c r="Z189" s="463"/>
      <c r="AA189" s="463"/>
      <c r="AB189" s="463"/>
      <c r="AC189" s="464"/>
      <c r="AD189" s="464"/>
      <c r="AE189" s="464"/>
      <c r="AF189" s="464"/>
      <c r="AG189" s="465"/>
      <c r="AH189" s="465"/>
      <c r="AI189" s="465"/>
      <c r="AJ189" s="465"/>
      <c r="AK189" s="424"/>
      <c r="AL189" s="424"/>
      <c r="AM189" s="424"/>
      <c r="AN189" s="424"/>
      <c r="AO189" s="425"/>
      <c r="AP189" s="425"/>
      <c r="AQ189" s="425"/>
      <c r="AR189" s="426"/>
    </row>
    <row r="190" spans="3:44" ht="18" customHeight="1">
      <c r="C190" s="444"/>
      <c r="D190" s="445"/>
      <c r="E190" s="445"/>
      <c r="F190" s="463"/>
      <c r="G190" s="463"/>
      <c r="H190" s="463"/>
      <c r="I190" s="463"/>
      <c r="J190" s="463"/>
      <c r="K190" s="463"/>
      <c r="L190" s="463"/>
      <c r="M190" s="463"/>
      <c r="N190" s="463"/>
      <c r="O190" s="463"/>
      <c r="P190" s="463"/>
      <c r="Q190" s="463"/>
      <c r="R190" s="463"/>
      <c r="S190" s="463"/>
      <c r="T190" s="463"/>
      <c r="U190" s="463"/>
      <c r="V190" s="463"/>
      <c r="W190" s="463"/>
      <c r="X190" s="463"/>
      <c r="Y190" s="463"/>
      <c r="Z190" s="463"/>
      <c r="AA190" s="463"/>
      <c r="AB190" s="463"/>
      <c r="AC190" s="464"/>
      <c r="AD190" s="464"/>
      <c r="AE190" s="464"/>
      <c r="AF190" s="464"/>
      <c r="AG190" s="465"/>
      <c r="AH190" s="465"/>
      <c r="AI190" s="465"/>
      <c r="AJ190" s="465"/>
      <c r="AK190" s="424"/>
      <c r="AL190" s="424"/>
      <c r="AM190" s="424"/>
      <c r="AN190" s="424"/>
      <c r="AO190" s="425"/>
      <c r="AP190" s="425"/>
      <c r="AQ190" s="425"/>
      <c r="AR190" s="426"/>
    </row>
    <row r="191" spans="3:44" ht="18" customHeight="1">
      <c r="C191" s="427">
        <v>1</v>
      </c>
      <c r="D191" s="428"/>
      <c r="E191" s="428"/>
      <c r="F191" s="428"/>
      <c r="G191" s="428"/>
      <c r="H191" s="428"/>
      <c r="I191" s="428"/>
      <c r="J191" s="428"/>
      <c r="K191" s="428"/>
      <c r="L191" s="428"/>
      <c r="M191" s="428"/>
      <c r="N191" s="428"/>
      <c r="O191" s="428"/>
      <c r="P191" s="428"/>
      <c r="Q191" s="428"/>
      <c r="R191" s="428"/>
      <c r="S191" s="428"/>
      <c r="T191" s="428"/>
      <c r="U191" s="428"/>
      <c r="V191" s="428"/>
      <c r="W191" s="428"/>
      <c r="X191" s="429"/>
      <c r="Y191" s="430" t="s">
        <v>88</v>
      </c>
      <c r="Z191" s="431"/>
      <c r="AA191" s="431"/>
      <c r="AB191" s="431"/>
      <c r="AC191" s="431"/>
      <c r="AD191" s="431"/>
      <c r="AE191" s="431"/>
      <c r="AF191" s="431"/>
      <c r="AG191" s="431"/>
      <c r="AH191" s="431"/>
      <c r="AI191" s="431"/>
      <c r="AJ191" s="431"/>
      <c r="AK191" s="431"/>
      <c r="AL191" s="431"/>
      <c r="AM191" s="431"/>
      <c r="AN191" s="431"/>
      <c r="AO191" s="432">
        <f>SUM(AO183:AR190)</f>
        <v>277.83</v>
      </c>
      <c r="AP191" s="432"/>
      <c r="AQ191" s="432"/>
      <c r="AR191" s="433"/>
    </row>
    <row r="193" spans="1:44" ht="18" customHeight="1">
      <c r="C193" s="461" t="s">
        <v>43</v>
      </c>
      <c r="D193" s="451"/>
      <c r="E193" s="451"/>
      <c r="F193" s="451" t="s">
        <v>89</v>
      </c>
      <c r="G193" s="451"/>
      <c r="H193" s="451"/>
      <c r="I193" s="451"/>
      <c r="J193" s="451"/>
      <c r="K193" s="451"/>
      <c r="L193" s="451"/>
      <c r="M193" s="451"/>
      <c r="N193" s="451"/>
      <c r="O193" s="451"/>
      <c r="P193" s="451"/>
      <c r="Q193" s="451"/>
      <c r="R193" s="451"/>
      <c r="S193" s="451" t="s">
        <v>90</v>
      </c>
      <c r="T193" s="451"/>
      <c r="U193" s="451"/>
      <c r="V193" s="451" t="s">
        <v>91</v>
      </c>
      <c r="W193" s="451"/>
      <c r="X193" s="451"/>
      <c r="Y193" s="451" t="s">
        <v>92</v>
      </c>
      <c r="Z193" s="451"/>
      <c r="AA193" s="451"/>
      <c r="AB193" s="451"/>
      <c r="AC193" s="451"/>
      <c r="AD193" s="451"/>
      <c r="AE193" s="451" t="s">
        <v>93</v>
      </c>
      <c r="AF193" s="451"/>
      <c r="AG193" s="451"/>
      <c r="AH193" s="451" t="s">
        <v>94</v>
      </c>
      <c r="AI193" s="451"/>
      <c r="AJ193" s="451"/>
      <c r="AK193" s="451" t="s">
        <v>86</v>
      </c>
      <c r="AL193" s="451"/>
      <c r="AM193" s="451"/>
      <c r="AN193" s="451"/>
      <c r="AO193" s="451" t="s">
        <v>87</v>
      </c>
      <c r="AP193" s="451"/>
      <c r="AQ193" s="451"/>
      <c r="AR193" s="453"/>
    </row>
    <row r="194" spans="1:44" ht="18" customHeight="1">
      <c r="C194" s="462"/>
      <c r="D194" s="452"/>
      <c r="E194" s="452"/>
      <c r="F194" s="452"/>
      <c r="G194" s="452"/>
      <c r="H194" s="452"/>
      <c r="I194" s="452"/>
      <c r="J194" s="452"/>
      <c r="K194" s="452"/>
      <c r="L194" s="452"/>
      <c r="M194" s="452"/>
      <c r="N194" s="452"/>
      <c r="O194" s="452"/>
      <c r="P194" s="452"/>
      <c r="Q194" s="452"/>
      <c r="R194" s="452"/>
      <c r="S194" s="452"/>
      <c r="T194" s="452"/>
      <c r="U194" s="452"/>
      <c r="V194" s="452"/>
      <c r="W194" s="452"/>
      <c r="X194" s="452"/>
      <c r="Y194" s="452"/>
      <c r="Z194" s="452"/>
      <c r="AA194" s="452"/>
      <c r="AB194" s="452"/>
      <c r="AC194" s="452"/>
      <c r="AD194" s="452"/>
      <c r="AE194" s="452"/>
      <c r="AF194" s="452"/>
      <c r="AG194" s="452"/>
      <c r="AH194" s="452"/>
      <c r="AI194" s="452"/>
      <c r="AJ194" s="452"/>
      <c r="AK194" s="452"/>
      <c r="AL194" s="452"/>
      <c r="AM194" s="452"/>
      <c r="AN194" s="452"/>
      <c r="AO194" s="452"/>
      <c r="AP194" s="452"/>
      <c r="AQ194" s="452"/>
      <c r="AR194" s="454"/>
    </row>
    <row r="195" spans="1:44" ht="18" customHeight="1">
      <c r="C195" s="455"/>
      <c r="D195" s="456"/>
      <c r="E195" s="456"/>
      <c r="F195" s="457"/>
      <c r="G195" s="457"/>
      <c r="H195" s="457"/>
      <c r="I195" s="457"/>
      <c r="J195" s="457"/>
      <c r="K195" s="457"/>
      <c r="L195" s="457"/>
      <c r="M195" s="457"/>
      <c r="N195" s="457"/>
      <c r="O195" s="457"/>
      <c r="P195" s="457"/>
      <c r="Q195" s="457"/>
      <c r="R195" s="457"/>
      <c r="S195" s="458"/>
      <c r="T195" s="458"/>
      <c r="U195" s="458"/>
      <c r="V195" s="458"/>
      <c r="W195" s="458"/>
      <c r="X195" s="458"/>
      <c r="Y195" s="459"/>
      <c r="Z195" s="459"/>
      <c r="AA195" s="459"/>
      <c r="AB195" s="459"/>
      <c r="AC195" s="459"/>
      <c r="AD195" s="459"/>
      <c r="AE195" s="449"/>
      <c r="AF195" s="449"/>
      <c r="AG195" s="449"/>
      <c r="AH195" s="449"/>
      <c r="AI195" s="449"/>
      <c r="AJ195" s="449"/>
      <c r="AK195" s="460"/>
      <c r="AL195" s="460"/>
      <c r="AM195" s="460"/>
      <c r="AN195" s="460"/>
      <c r="AO195" s="449">
        <f t="shared" ref="AO195:AO202" si="1">ROUND(AE195*AH195*AK195,2)</f>
        <v>0</v>
      </c>
      <c r="AP195" s="449"/>
      <c r="AQ195" s="449"/>
      <c r="AR195" s="450"/>
    </row>
    <row r="196" spans="1:44" ht="18" customHeight="1">
      <c r="C196" s="444"/>
      <c r="D196" s="445"/>
      <c r="E196" s="445"/>
      <c r="F196" s="446"/>
      <c r="G196" s="446"/>
      <c r="H196" s="446"/>
      <c r="I196" s="446"/>
      <c r="J196" s="446"/>
      <c r="K196" s="446"/>
      <c r="L196" s="446"/>
      <c r="M196" s="446"/>
      <c r="N196" s="446"/>
      <c r="O196" s="446"/>
      <c r="P196" s="446"/>
      <c r="Q196" s="446"/>
      <c r="R196" s="446"/>
      <c r="S196" s="447"/>
      <c r="T196" s="447"/>
      <c r="U196" s="447"/>
      <c r="V196" s="447"/>
      <c r="W196" s="447"/>
      <c r="X196" s="447"/>
      <c r="Y196" s="448"/>
      <c r="Z196" s="448"/>
      <c r="AA196" s="448"/>
      <c r="AB196" s="448"/>
      <c r="AC196" s="448"/>
      <c r="AD196" s="448"/>
      <c r="AE196" s="425"/>
      <c r="AF196" s="425"/>
      <c r="AG196" s="425"/>
      <c r="AH196" s="425"/>
      <c r="AI196" s="425"/>
      <c r="AJ196" s="425"/>
      <c r="AK196" s="424"/>
      <c r="AL196" s="424"/>
      <c r="AM196" s="424"/>
      <c r="AN196" s="424"/>
      <c r="AO196" s="425">
        <f t="shared" si="1"/>
        <v>0</v>
      </c>
      <c r="AP196" s="425"/>
      <c r="AQ196" s="425"/>
      <c r="AR196" s="426"/>
    </row>
    <row r="197" spans="1:44" ht="18" customHeight="1">
      <c r="C197" s="444"/>
      <c r="D197" s="445"/>
      <c r="E197" s="445"/>
      <c r="F197" s="446"/>
      <c r="G197" s="446"/>
      <c r="H197" s="446"/>
      <c r="I197" s="446"/>
      <c r="J197" s="446"/>
      <c r="K197" s="446"/>
      <c r="L197" s="446"/>
      <c r="M197" s="446"/>
      <c r="N197" s="446"/>
      <c r="O197" s="446"/>
      <c r="P197" s="446"/>
      <c r="Q197" s="446"/>
      <c r="R197" s="446"/>
      <c r="S197" s="447"/>
      <c r="T197" s="447"/>
      <c r="U197" s="447"/>
      <c r="V197" s="447"/>
      <c r="W197" s="447"/>
      <c r="X197" s="447"/>
      <c r="Y197" s="448"/>
      <c r="Z197" s="448"/>
      <c r="AA197" s="448"/>
      <c r="AB197" s="448"/>
      <c r="AC197" s="448"/>
      <c r="AD197" s="448"/>
      <c r="AE197" s="425"/>
      <c r="AF197" s="425"/>
      <c r="AG197" s="425"/>
      <c r="AH197" s="425"/>
      <c r="AI197" s="425"/>
      <c r="AJ197" s="425"/>
      <c r="AK197" s="424"/>
      <c r="AL197" s="424"/>
      <c r="AM197" s="424"/>
      <c r="AN197" s="424"/>
      <c r="AO197" s="425">
        <f t="shared" si="1"/>
        <v>0</v>
      </c>
      <c r="AP197" s="425"/>
      <c r="AQ197" s="425"/>
      <c r="AR197" s="426"/>
    </row>
    <row r="198" spans="1:44" ht="18" customHeight="1">
      <c r="C198" s="444"/>
      <c r="D198" s="445"/>
      <c r="E198" s="445"/>
      <c r="F198" s="446"/>
      <c r="G198" s="446"/>
      <c r="H198" s="446"/>
      <c r="I198" s="446"/>
      <c r="J198" s="446"/>
      <c r="K198" s="446"/>
      <c r="L198" s="446"/>
      <c r="M198" s="446"/>
      <c r="N198" s="446"/>
      <c r="O198" s="446"/>
      <c r="P198" s="446"/>
      <c r="Q198" s="446"/>
      <c r="R198" s="446"/>
      <c r="S198" s="447"/>
      <c r="T198" s="447"/>
      <c r="U198" s="447"/>
      <c r="V198" s="447"/>
      <c r="W198" s="447"/>
      <c r="X198" s="447"/>
      <c r="Y198" s="448"/>
      <c r="Z198" s="448"/>
      <c r="AA198" s="448"/>
      <c r="AB198" s="448"/>
      <c r="AC198" s="448"/>
      <c r="AD198" s="448"/>
      <c r="AE198" s="425"/>
      <c r="AF198" s="425"/>
      <c r="AG198" s="425"/>
      <c r="AH198" s="425"/>
      <c r="AI198" s="425"/>
      <c r="AJ198" s="425"/>
      <c r="AK198" s="424"/>
      <c r="AL198" s="424"/>
      <c r="AM198" s="424"/>
      <c r="AN198" s="424"/>
      <c r="AO198" s="425">
        <f t="shared" si="1"/>
        <v>0</v>
      </c>
      <c r="AP198" s="425"/>
      <c r="AQ198" s="425"/>
      <c r="AR198" s="426"/>
    </row>
    <row r="199" spans="1:44" ht="18" customHeight="1">
      <c r="C199" s="444"/>
      <c r="D199" s="445"/>
      <c r="E199" s="445"/>
      <c r="F199" s="446"/>
      <c r="G199" s="446"/>
      <c r="H199" s="446"/>
      <c r="I199" s="446"/>
      <c r="J199" s="446"/>
      <c r="K199" s="446"/>
      <c r="L199" s="446"/>
      <c r="M199" s="446"/>
      <c r="N199" s="446"/>
      <c r="O199" s="446"/>
      <c r="P199" s="446"/>
      <c r="Q199" s="446"/>
      <c r="R199" s="446"/>
      <c r="S199" s="447"/>
      <c r="T199" s="447"/>
      <c r="U199" s="447"/>
      <c r="V199" s="447"/>
      <c r="W199" s="447"/>
      <c r="X199" s="447"/>
      <c r="Y199" s="448"/>
      <c r="Z199" s="448"/>
      <c r="AA199" s="448"/>
      <c r="AB199" s="448"/>
      <c r="AC199" s="448"/>
      <c r="AD199" s="448"/>
      <c r="AE199" s="425"/>
      <c r="AF199" s="425"/>
      <c r="AG199" s="425"/>
      <c r="AH199" s="425"/>
      <c r="AI199" s="425"/>
      <c r="AJ199" s="425"/>
      <c r="AK199" s="424"/>
      <c r="AL199" s="424"/>
      <c r="AM199" s="424"/>
      <c r="AN199" s="424"/>
      <c r="AO199" s="425">
        <f t="shared" si="1"/>
        <v>0</v>
      </c>
      <c r="AP199" s="425"/>
      <c r="AQ199" s="425"/>
      <c r="AR199" s="426"/>
    </row>
    <row r="200" spans="1:44" ht="18" customHeight="1">
      <c r="C200" s="444"/>
      <c r="D200" s="445"/>
      <c r="E200" s="445"/>
      <c r="F200" s="446"/>
      <c r="G200" s="446"/>
      <c r="H200" s="446"/>
      <c r="I200" s="446"/>
      <c r="J200" s="446"/>
      <c r="K200" s="446"/>
      <c r="L200" s="446"/>
      <c r="M200" s="446"/>
      <c r="N200" s="446"/>
      <c r="O200" s="446"/>
      <c r="P200" s="446"/>
      <c r="Q200" s="446"/>
      <c r="R200" s="446"/>
      <c r="S200" s="447"/>
      <c r="T200" s="447"/>
      <c r="U200" s="447"/>
      <c r="V200" s="447"/>
      <c r="W200" s="447"/>
      <c r="X200" s="447"/>
      <c r="Y200" s="448"/>
      <c r="Z200" s="448"/>
      <c r="AA200" s="448"/>
      <c r="AB200" s="448"/>
      <c r="AC200" s="448"/>
      <c r="AD200" s="448"/>
      <c r="AE200" s="425"/>
      <c r="AF200" s="425"/>
      <c r="AG200" s="425"/>
      <c r="AH200" s="425"/>
      <c r="AI200" s="425"/>
      <c r="AJ200" s="425"/>
      <c r="AK200" s="424"/>
      <c r="AL200" s="424"/>
      <c r="AM200" s="424"/>
      <c r="AN200" s="424"/>
      <c r="AO200" s="425">
        <f t="shared" si="1"/>
        <v>0</v>
      </c>
      <c r="AP200" s="425"/>
      <c r="AQ200" s="425"/>
      <c r="AR200" s="426"/>
    </row>
    <row r="201" spans="1:44" ht="18" customHeight="1">
      <c r="C201" s="444"/>
      <c r="D201" s="445"/>
      <c r="E201" s="445"/>
      <c r="F201" s="446"/>
      <c r="G201" s="446"/>
      <c r="H201" s="446"/>
      <c r="I201" s="446"/>
      <c r="J201" s="446"/>
      <c r="K201" s="446"/>
      <c r="L201" s="446"/>
      <c r="M201" s="446"/>
      <c r="N201" s="446"/>
      <c r="O201" s="446"/>
      <c r="P201" s="446"/>
      <c r="Q201" s="446"/>
      <c r="R201" s="446"/>
      <c r="S201" s="447"/>
      <c r="T201" s="447"/>
      <c r="U201" s="447"/>
      <c r="V201" s="447"/>
      <c r="W201" s="447"/>
      <c r="X201" s="447"/>
      <c r="Y201" s="448"/>
      <c r="Z201" s="448"/>
      <c r="AA201" s="448"/>
      <c r="AB201" s="448"/>
      <c r="AC201" s="448"/>
      <c r="AD201" s="448"/>
      <c r="AE201" s="425"/>
      <c r="AF201" s="425"/>
      <c r="AG201" s="425"/>
      <c r="AH201" s="425"/>
      <c r="AI201" s="425"/>
      <c r="AJ201" s="425"/>
      <c r="AK201" s="424"/>
      <c r="AL201" s="424"/>
      <c r="AM201" s="424"/>
      <c r="AN201" s="424"/>
      <c r="AO201" s="425">
        <f t="shared" si="1"/>
        <v>0</v>
      </c>
      <c r="AP201" s="425"/>
      <c r="AQ201" s="425"/>
      <c r="AR201" s="426"/>
    </row>
    <row r="202" spans="1:44" ht="18" customHeight="1">
      <c r="C202" s="444"/>
      <c r="D202" s="445"/>
      <c r="E202" s="445"/>
      <c r="F202" s="446"/>
      <c r="G202" s="446"/>
      <c r="H202" s="446"/>
      <c r="I202" s="446"/>
      <c r="J202" s="446"/>
      <c r="K202" s="446"/>
      <c r="L202" s="446"/>
      <c r="M202" s="446"/>
      <c r="N202" s="446"/>
      <c r="O202" s="446"/>
      <c r="P202" s="446"/>
      <c r="Q202" s="446"/>
      <c r="R202" s="446"/>
      <c r="S202" s="447"/>
      <c r="T202" s="447"/>
      <c r="U202" s="447"/>
      <c r="V202" s="447"/>
      <c r="W202" s="447"/>
      <c r="X202" s="447"/>
      <c r="Y202" s="448"/>
      <c r="Z202" s="448"/>
      <c r="AA202" s="448"/>
      <c r="AB202" s="448"/>
      <c r="AC202" s="448"/>
      <c r="AD202" s="448"/>
      <c r="AE202" s="425"/>
      <c r="AF202" s="425"/>
      <c r="AG202" s="425"/>
      <c r="AH202" s="425"/>
      <c r="AI202" s="425"/>
      <c r="AJ202" s="425"/>
      <c r="AK202" s="424"/>
      <c r="AL202" s="424"/>
      <c r="AM202" s="424"/>
      <c r="AN202" s="424"/>
      <c r="AO202" s="425">
        <f t="shared" si="1"/>
        <v>0</v>
      </c>
      <c r="AP202" s="425"/>
      <c r="AQ202" s="425"/>
      <c r="AR202" s="426"/>
    </row>
    <row r="203" spans="1:44" ht="18" customHeight="1">
      <c r="C203" s="427"/>
      <c r="D203" s="428"/>
      <c r="E203" s="428"/>
      <c r="F203" s="428"/>
      <c r="G203" s="428"/>
      <c r="H203" s="428"/>
      <c r="I203" s="428"/>
      <c r="J203" s="428"/>
      <c r="K203" s="428"/>
      <c r="L203" s="428"/>
      <c r="M203" s="428"/>
      <c r="N203" s="428"/>
      <c r="O203" s="428"/>
      <c r="P203" s="428"/>
      <c r="Q203" s="428"/>
      <c r="R203" s="428"/>
      <c r="S203" s="428"/>
      <c r="T203" s="428"/>
      <c r="U203" s="428"/>
      <c r="V203" s="428"/>
      <c r="W203" s="428"/>
      <c r="X203" s="429"/>
      <c r="Y203" s="430" t="s">
        <v>95</v>
      </c>
      <c r="Z203" s="431"/>
      <c r="AA203" s="431"/>
      <c r="AB203" s="431"/>
      <c r="AC203" s="431"/>
      <c r="AD203" s="431"/>
      <c r="AE203" s="431"/>
      <c r="AF203" s="431"/>
      <c r="AG203" s="431"/>
      <c r="AH203" s="431"/>
      <c r="AI203" s="431"/>
      <c r="AJ203" s="431"/>
      <c r="AK203" s="431"/>
      <c r="AL203" s="431"/>
      <c r="AM203" s="431"/>
      <c r="AN203" s="431"/>
      <c r="AO203" s="432">
        <f>SUM(AO195:AR202)</f>
        <v>0</v>
      </c>
      <c r="AP203" s="432"/>
      <c r="AQ203" s="432"/>
      <c r="AR203" s="433"/>
    </row>
    <row r="205" spans="1:44" ht="18" customHeight="1">
      <c r="C205" s="434"/>
      <c r="D205" s="434"/>
      <c r="E205" s="434"/>
      <c r="F205" s="434"/>
      <c r="G205" s="434"/>
      <c r="H205" s="434"/>
      <c r="I205" s="434"/>
      <c r="J205" s="434"/>
      <c r="K205" s="434"/>
      <c r="L205" s="434"/>
      <c r="M205" s="434"/>
      <c r="N205" s="434"/>
      <c r="O205" s="434"/>
      <c r="P205" s="434"/>
      <c r="Q205" s="434"/>
      <c r="R205" s="434"/>
      <c r="S205" s="434"/>
      <c r="T205" s="434"/>
      <c r="U205" s="434"/>
      <c r="V205" s="434"/>
      <c r="W205" s="434"/>
      <c r="X205" s="434"/>
      <c r="Y205" s="435" t="s">
        <v>96</v>
      </c>
      <c r="Z205" s="436"/>
      <c r="AA205" s="436"/>
      <c r="AB205" s="436"/>
      <c r="AC205" s="436"/>
      <c r="AD205" s="436"/>
      <c r="AE205" s="436"/>
      <c r="AF205" s="436"/>
      <c r="AG205" s="436"/>
      <c r="AH205" s="436"/>
      <c r="AI205" s="436"/>
      <c r="AJ205" s="436"/>
      <c r="AK205" s="436"/>
      <c r="AL205" s="436"/>
      <c r="AM205" s="436"/>
      <c r="AN205" s="436"/>
      <c r="AO205" s="437">
        <f>AO179+AO191+AO203</f>
        <v>469.48</v>
      </c>
      <c r="AP205" s="437"/>
      <c r="AQ205" s="437"/>
      <c r="AR205" s="438"/>
    </row>
    <row r="206" spans="1:44" ht="18" customHeight="1">
      <c r="C206" s="434"/>
      <c r="D206" s="434"/>
      <c r="E206" s="434"/>
      <c r="F206" s="434"/>
      <c r="G206" s="434"/>
      <c r="H206" s="434"/>
      <c r="I206" s="434"/>
      <c r="J206" s="434"/>
      <c r="K206" s="434"/>
      <c r="L206" s="434"/>
      <c r="M206" s="434"/>
      <c r="N206" s="434"/>
      <c r="O206" s="434"/>
      <c r="P206" s="434"/>
      <c r="Q206" s="434"/>
      <c r="R206" s="434"/>
      <c r="S206" s="434"/>
      <c r="T206" s="434"/>
      <c r="U206" s="434"/>
      <c r="V206" s="434"/>
      <c r="W206" s="434"/>
      <c r="X206" s="434"/>
      <c r="Y206" s="439" t="s">
        <v>97</v>
      </c>
      <c r="Z206" s="440"/>
      <c r="AA206" s="440"/>
      <c r="AB206" s="440"/>
      <c r="AC206" s="440"/>
      <c r="AD206" s="440"/>
      <c r="AE206" s="440"/>
      <c r="AF206" s="440"/>
      <c r="AG206" s="441"/>
      <c r="AH206" s="442">
        <v>0.2031</v>
      </c>
      <c r="AI206" s="442"/>
      <c r="AJ206" s="442"/>
      <c r="AK206" s="442"/>
      <c r="AL206" s="442"/>
      <c r="AM206" s="442"/>
      <c r="AN206" s="443"/>
      <c r="AO206" s="413">
        <f>ROUND(AO205*AH206,2)</f>
        <v>95.35</v>
      </c>
      <c r="AP206" s="413"/>
      <c r="AQ206" s="413"/>
      <c r="AR206" s="414"/>
    </row>
    <row r="207" spans="1:44" ht="18" customHeight="1">
      <c r="A207" s="415" t="s">
        <v>282</v>
      </c>
      <c r="B207" s="415"/>
      <c r="C207" s="434"/>
      <c r="D207" s="434"/>
      <c r="E207" s="434"/>
      <c r="F207" s="434"/>
      <c r="G207" s="434"/>
      <c r="H207" s="434"/>
      <c r="I207" s="434"/>
      <c r="J207" s="434"/>
      <c r="K207" s="434"/>
      <c r="L207" s="434"/>
      <c r="M207" s="434"/>
      <c r="N207" s="434"/>
      <c r="O207" s="434"/>
      <c r="P207" s="434"/>
      <c r="Q207" s="434"/>
      <c r="R207" s="434"/>
      <c r="S207" s="434"/>
      <c r="T207" s="434"/>
      <c r="U207" s="434"/>
      <c r="V207" s="434"/>
      <c r="W207" s="434"/>
      <c r="X207" s="434"/>
      <c r="Y207" s="416" t="s">
        <v>98</v>
      </c>
      <c r="Z207" s="417"/>
      <c r="AA207" s="417"/>
      <c r="AB207" s="417"/>
      <c r="AC207" s="417"/>
      <c r="AD207" s="417"/>
      <c r="AE207" s="417"/>
      <c r="AF207" s="417"/>
      <c r="AG207" s="417"/>
      <c r="AH207" s="417"/>
      <c r="AI207" s="417"/>
      <c r="AJ207" s="417"/>
      <c r="AK207" s="417"/>
      <c r="AL207" s="417"/>
      <c r="AM207" s="417"/>
      <c r="AN207" s="417"/>
      <c r="AO207" s="418">
        <f>SUM(AO205:AR206)</f>
        <v>564.83000000000004</v>
      </c>
      <c r="AP207" s="418"/>
      <c r="AQ207" s="418"/>
      <c r="AR207" s="419"/>
    </row>
    <row r="209" spans="3:44" ht="18" customHeight="1">
      <c r="C209" s="420" t="s">
        <v>99</v>
      </c>
      <c r="D209" s="421"/>
      <c r="E209" s="421"/>
      <c r="F209" s="421"/>
      <c r="G209" s="421"/>
      <c r="H209" s="421"/>
      <c r="I209" s="422"/>
      <c r="J209" s="422"/>
      <c r="K209" s="422"/>
      <c r="L209" s="422"/>
      <c r="M209" s="422"/>
      <c r="N209" s="422"/>
      <c r="O209" s="422"/>
      <c r="P209" s="422"/>
      <c r="Q209" s="422"/>
      <c r="R209" s="422"/>
      <c r="S209" s="422"/>
      <c r="T209" s="422"/>
      <c r="U209" s="422"/>
      <c r="V209" s="422"/>
      <c r="W209" s="422"/>
      <c r="X209" s="422"/>
      <c r="Y209" s="422"/>
      <c r="Z209" s="422"/>
      <c r="AA209" s="422"/>
      <c r="AB209" s="422"/>
      <c r="AC209" s="422"/>
      <c r="AD209" s="422"/>
      <c r="AE209" s="422"/>
      <c r="AF209" s="422"/>
      <c r="AG209" s="422"/>
      <c r="AH209" s="422"/>
      <c r="AI209" s="422"/>
      <c r="AJ209" s="422"/>
      <c r="AK209" s="422"/>
      <c r="AL209" s="422"/>
      <c r="AM209" s="422"/>
      <c r="AN209" s="422"/>
      <c r="AO209" s="422"/>
      <c r="AP209" s="422"/>
      <c r="AQ209" s="422"/>
      <c r="AR209" s="423"/>
    </row>
    <row r="210" spans="3:44" ht="18" customHeight="1">
      <c r="C210" s="411"/>
      <c r="D210" s="412"/>
      <c r="E210" s="412"/>
      <c r="F210" s="412"/>
      <c r="G210" s="412"/>
      <c r="H210" s="412"/>
      <c r="I210" s="409"/>
      <c r="J210" s="409"/>
      <c r="K210" s="409"/>
      <c r="L210" s="409"/>
      <c r="M210" s="409"/>
      <c r="N210" s="409"/>
      <c r="O210" s="409"/>
      <c r="P210" s="409"/>
      <c r="Q210" s="409"/>
      <c r="R210" s="409"/>
      <c r="S210" s="409"/>
      <c r="T210" s="409"/>
      <c r="U210" s="409"/>
      <c r="V210" s="409"/>
      <c r="W210" s="409"/>
      <c r="X210" s="409"/>
      <c r="Y210" s="409"/>
      <c r="Z210" s="409"/>
      <c r="AA210" s="409"/>
      <c r="AB210" s="409"/>
      <c r="AC210" s="409"/>
      <c r="AD210" s="409"/>
      <c r="AE210" s="409"/>
      <c r="AF210" s="409"/>
      <c r="AG210" s="409"/>
      <c r="AH210" s="409"/>
      <c r="AI210" s="409"/>
      <c r="AJ210" s="409"/>
      <c r="AK210" s="409"/>
      <c r="AL210" s="409"/>
      <c r="AM210" s="409"/>
      <c r="AN210" s="409"/>
      <c r="AO210" s="409"/>
      <c r="AP210" s="409"/>
      <c r="AQ210" s="409"/>
      <c r="AR210" s="410"/>
    </row>
    <row r="211" spans="3:44" ht="18" customHeight="1">
      <c r="C211" s="411"/>
      <c r="D211" s="412"/>
      <c r="E211" s="412"/>
      <c r="F211" s="412"/>
      <c r="G211" s="412"/>
      <c r="H211" s="412"/>
      <c r="I211" s="409"/>
      <c r="J211" s="409"/>
      <c r="K211" s="409"/>
      <c r="L211" s="409"/>
      <c r="M211" s="409"/>
      <c r="N211" s="409"/>
      <c r="O211" s="409"/>
      <c r="P211" s="409"/>
      <c r="Q211" s="409"/>
      <c r="R211" s="409"/>
      <c r="S211" s="409"/>
      <c r="T211" s="409"/>
      <c r="U211" s="409"/>
      <c r="V211" s="409"/>
      <c r="W211" s="409"/>
      <c r="X211" s="409"/>
      <c r="Y211" s="409"/>
      <c r="Z211" s="409"/>
      <c r="AA211" s="409"/>
      <c r="AB211" s="409"/>
      <c r="AC211" s="409"/>
      <c r="AD211" s="409"/>
      <c r="AE211" s="409"/>
      <c r="AF211" s="409"/>
      <c r="AG211" s="409"/>
      <c r="AH211" s="409"/>
      <c r="AI211" s="409"/>
      <c r="AJ211" s="409"/>
      <c r="AK211" s="409"/>
      <c r="AL211" s="409"/>
      <c r="AM211" s="409"/>
      <c r="AN211" s="409"/>
      <c r="AO211" s="409"/>
      <c r="AP211" s="409"/>
      <c r="AQ211" s="409"/>
      <c r="AR211" s="410"/>
    </row>
    <row r="212" spans="3:44" ht="18" customHeight="1">
      <c r="C212" s="411"/>
      <c r="D212" s="412"/>
      <c r="E212" s="412"/>
      <c r="F212" s="412"/>
      <c r="G212" s="412"/>
      <c r="H212" s="412"/>
      <c r="I212" s="409"/>
      <c r="J212" s="409"/>
      <c r="K212" s="409"/>
      <c r="L212" s="409"/>
      <c r="M212" s="409"/>
      <c r="N212" s="409"/>
      <c r="O212" s="409"/>
      <c r="P212" s="409"/>
      <c r="Q212" s="409"/>
      <c r="R212" s="409"/>
      <c r="S212" s="409"/>
      <c r="T212" s="409"/>
      <c r="U212" s="409"/>
      <c r="V212" s="409"/>
      <c r="W212" s="409"/>
      <c r="X212" s="409"/>
      <c r="Y212" s="409"/>
      <c r="Z212" s="409"/>
      <c r="AA212" s="409"/>
      <c r="AB212" s="409"/>
      <c r="AC212" s="409"/>
      <c r="AD212" s="409"/>
      <c r="AE212" s="409"/>
      <c r="AF212" s="409"/>
      <c r="AG212" s="409"/>
      <c r="AH212" s="409"/>
      <c r="AI212" s="409"/>
      <c r="AJ212" s="409"/>
      <c r="AK212" s="409"/>
      <c r="AL212" s="409"/>
      <c r="AM212" s="409"/>
      <c r="AN212" s="409"/>
      <c r="AO212" s="409"/>
      <c r="AP212" s="409"/>
      <c r="AQ212" s="409"/>
      <c r="AR212" s="410"/>
    </row>
    <row r="213" spans="3:44" ht="18" customHeight="1">
      <c r="C213" s="411"/>
      <c r="D213" s="412"/>
      <c r="E213" s="412"/>
      <c r="F213" s="412"/>
      <c r="G213" s="412"/>
      <c r="H213" s="412"/>
      <c r="I213" s="409"/>
      <c r="J213" s="409"/>
      <c r="K213" s="409"/>
      <c r="L213" s="409"/>
      <c r="M213" s="409"/>
      <c r="N213" s="409"/>
      <c r="O213" s="409"/>
      <c r="P213" s="409"/>
      <c r="Q213" s="409"/>
      <c r="R213" s="409"/>
      <c r="S213" s="409"/>
      <c r="T213" s="409"/>
      <c r="U213" s="409"/>
      <c r="V213" s="409"/>
      <c r="W213" s="409"/>
      <c r="X213" s="409"/>
      <c r="Y213" s="409"/>
      <c r="Z213" s="409"/>
      <c r="AA213" s="409"/>
      <c r="AB213" s="409"/>
      <c r="AC213" s="409"/>
      <c r="AD213" s="409"/>
      <c r="AE213" s="409"/>
      <c r="AF213" s="409"/>
      <c r="AG213" s="409"/>
      <c r="AH213" s="409"/>
      <c r="AI213" s="409"/>
      <c r="AJ213" s="409"/>
      <c r="AK213" s="409"/>
      <c r="AL213" s="409"/>
      <c r="AM213" s="409"/>
      <c r="AN213" s="409"/>
      <c r="AO213" s="409"/>
      <c r="AP213" s="409"/>
      <c r="AQ213" s="409"/>
      <c r="AR213" s="410"/>
    </row>
    <row r="214" spans="3:44" ht="18" customHeight="1">
      <c r="C214" s="385"/>
      <c r="D214" s="386"/>
      <c r="E214" s="386"/>
      <c r="F214" s="386"/>
      <c r="G214" s="386"/>
      <c r="H214" s="386"/>
      <c r="I214" s="387"/>
      <c r="J214" s="387"/>
      <c r="K214" s="387"/>
      <c r="L214" s="387"/>
      <c r="M214" s="387"/>
      <c r="N214" s="387"/>
      <c r="O214" s="387"/>
      <c r="P214" s="387"/>
      <c r="Q214" s="387"/>
      <c r="R214" s="387"/>
      <c r="S214" s="387"/>
      <c r="T214" s="387"/>
      <c r="U214" s="387"/>
      <c r="V214" s="387"/>
      <c r="W214" s="387"/>
      <c r="X214" s="387"/>
      <c r="Y214" s="387"/>
      <c r="Z214" s="387"/>
      <c r="AA214" s="387"/>
      <c r="AB214" s="387"/>
      <c r="AC214" s="387"/>
      <c r="AD214" s="387"/>
      <c r="AE214" s="387"/>
      <c r="AF214" s="387"/>
      <c r="AG214" s="387"/>
      <c r="AH214" s="387"/>
      <c r="AI214" s="387"/>
      <c r="AJ214" s="387"/>
      <c r="AK214" s="387"/>
      <c r="AL214" s="387"/>
      <c r="AM214" s="387"/>
      <c r="AN214" s="387"/>
      <c r="AO214" s="387"/>
      <c r="AP214" s="387"/>
      <c r="AQ214" s="387"/>
      <c r="AR214" s="388"/>
    </row>
    <row r="216" spans="3:44" ht="18" customHeight="1">
      <c r="C216" s="389" t="s">
        <v>100</v>
      </c>
      <c r="D216" s="390"/>
      <c r="E216" s="390"/>
      <c r="F216" s="390"/>
      <c r="G216" s="390"/>
      <c r="H216" s="390"/>
      <c r="I216" s="390"/>
      <c r="J216" s="390"/>
      <c r="K216" s="390"/>
      <c r="L216" s="390"/>
      <c r="M216" s="390"/>
      <c r="N216" s="390"/>
      <c r="O216" s="390"/>
      <c r="P216" s="390"/>
      <c r="Q216" s="390"/>
      <c r="R216" s="390"/>
      <c r="S216" s="390"/>
      <c r="T216" s="390"/>
      <c r="U216" s="390"/>
      <c r="V216" s="390"/>
      <c r="W216" s="390"/>
      <c r="X216" s="390"/>
      <c r="Y216" s="390"/>
      <c r="Z216" s="390"/>
      <c r="AA216" s="391"/>
      <c r="AB216" s="392" t="str">
        <f>[4]C.UNIT.SERV.!$E$5</f>
        <v>DATA-BASE:      MAIO/2011/PR</v>
      </c>
      <c r="AC216" s="393"/>
      <c r="AD216" s="393"/>
      <c r="AE216" s="393"/>
      <c r="AF216" s="393"/>
      <c r="AG216" s="393"/>
      <c r="AH216" s="393"/>
      <c r="AI216" s="394"/>
      <c r="AJ216" s="392"/>
      <c r="AK216" s="393"/>
      <c r="AL216" s="393"/>
      <c r="AM216" s="393"/>
      <c r="AN216" s="393"/>
      <c r="AO216" s="393"/>
      <c r="AP216" s="393"/>
      <c r="AQ216" s="393"/>
      <c r="AR216" s="401"/>
    </row>
    <row r="217" spans="3:44" ht="18" customHeight="1">
      <c r="C217" s="404" t="s">
        <v>101</v>
      </c>
      <c r="D217" s="405"/>
      <c r="E217" s="405"/>
      <c r="F217" s="405"/>
      <c r="G217" s="405" t="s">
        <v>283</v>
      </c>
      <c r="H217" s="405"/>
      <c r="I217" s="405"/>
      <c r="J217" s="405"/>
      <c r="K217" s="405"/>
      <c r="L217" s="405"/>
      <c r="M217" s="405"/>
      <c r="N217" s="405"/>
      <c r="O217" s="405"/>
      <c r="P217" s="405"/>
      <c r="Q217" s="405"/>
      <c r="R217" s="405"/>
      <c r="S217" s="405"/>
      <c r="T217" s="405"/>
      <c r="U217" s="405"/>
      <c r="V217" s="405"/>
      <c r="W217" s="405"/>
      <c r="X217" s="405"/>
      <c r="Y217" s="405"/>
      <c r="Z217" s="405"/>
      <c r="AA217" s="406"/>
      <c r="AB217" s="395"/>
      <c r="AC217" s="396"/>
      <c r="AD217" s="396"/>
      <c r="AE217" s="396"/>
      <c r="AF217" s="396"/>
      <c r="AG217" s="396"/>
      <c r="AH217" s="396"/>
      <c r="AI217" s="397"/>
      <c r="AJ217" s="395"/>
      <c r="AK217" s="396"/>
      <c r="AL217" s="396"/>
      <c r="AM217" s="396"/>
      <c r="AN217" s="396"/>
      <c r="AO217" s="396"/>
      <c r="AP217" s="396"/>
      <c r="AQ217" s="396"/>
      <c r="AR217" s="402"/>
    </row>
    <row r="218" spans="3:44" ht="18" customHeight="1">
      <c r="C218" s="404" t="s">
        <v>102</v>
      </c>
      <c r="D218" s="405"/>
      <c r="E218" s="405"/>
      <c r="F218" s="405"/>
      <c r="G218" s="405"/>
      <c r="H218" s="405"/>
      <c r="I218" s="405"/>
      <c r="J218" s="405"/>
      <c r="K218" s="405"/>
      <c r="L218" s="405"/>
      <c r="M218" s="405"/>
      <c r="N218" s="405"/>
      <c r="O218" s="405"/>
      <c r="P218" s="405"/>
      <c r="Q218" s="405"/>
      <c r="R218" s="405"/>
      <c r="S218" s="405"/>
      <c r="T218" s="405"/>
      <c r="U218" s="405"/>
      <c r="V218" s="405"/>
      <c r="W218" s="405"/>
      <c r="X218" s="405"/>
      <c r="Y218" s="405"/>
      <c r="Z218" s="405"/>
      <c r="AA218" s="406"/>
      <c r="AB218" s="395"/>
      <c r="AC218" s="396"/>
      <c r="AD218" s="396"/>
      <c r="AE218" s="396"/>
      <c r="AF218" s="396"/>
      <c r="AG218" s="396"/>
      <c r="AH218" s="396"/>
      <c r="AI218" s="397"/>
      <c r="AJ218" s="395"/>
      <c r="AK218" s="396"/>
      <c r="AL218" s="396"/>
      <c r="AM218" s="396"/>
      <c r="AN218" s="396"/>
      <c r="AO218" s="396"/>
      <c r="AP218" s="396"/>
      <c r="AQ218" s="396"/>
      <c r="AR218" s="402"/>
    </row>
    <row r="219" spans="3:44" ht="18" customHeight="1">
      <c r="C219" s="407"/>
      <c r="D219" s="408"/>
      <c r="E219" s="408"/>
      <c r="F219" s="408"/>
      <c r="G219" s="408"/>
      <c r="H219" s="408"/>
      <c r="I219" s="408"/>
      <c r="J219" s="408"/>
      <c r="K219" s="408"/>
      <c r="L219" s="408"/>
      <c r="M219" s="408"/>
      <c r="N219" s="408"/>
      <c r="O219" s="408"/>
      <c r="P219" s="408"/>
      <c r="Q219" s="408"/>
      <c r="R219" s="408"/>
      <c r="S219" s="408"/>
      <c r="T219" s="408"/>
      <c r="U219" s="408"/>
      <c r="V219" s="408"/>
      <c r="W219" s="408"/>
      <c r="X219" s="408"/>
      <c r="Y219" s="408"/>
      <c r="Z219" s="408"/>
      <c r="AA219" s="408"/>
      <c r="AB219" s="398"/>
      <c r="AC219" s="399"/>
      <c r="AD219" s="399"/>
      <c r="AE219" s="399"/>
      <c r="AF219" s="399"/>
      <c r="AG219" s="399"/>
      <c r="AH219" s="399"/>
      <c r="AI219" s="400"/>
      <c r="AJ219" s="398"/>
      <c r="AK219" s="399"/>
      <c r="AL219" s="399"/>
      <c r="AM219" s="399"/>
      <c r="AN219" s="399"/>
      <c r="AO219" s="399"/>
      <c r="AP219" s="399"/>
      <c r="AQ219" s="399"/>
      <c r="AR219" s="403"/>
    </row>
    <row r="221" spans="3:44" ht="18" customHeight="1">
      <c r="C221" s="496" t="s">
        <v>64</v>
      </c>
      <c r="D221" s="497"/>
      <c r="E221" s="497"/>
      <c r="F221" s="497"/>
      <c r="G221" s="497"/>
      <c r="H221" s="497"/>
      <c r="I221" s="497"/>
      <c r="J221" s="497"/>
      <c r="K221" s="497"/>
      <c r="L221" s="497"/>
      <c r="M221" s="497"/>
      <c r="N221" s="497"/>
      <c r="O221" s="497"/>
      <c r="P221" s="497"/>
      <c r="Q221" s="497"/>
      <c r="R221" s="497"/>
      <c r="S221" s="497"/>
      <c r="T221" s="497"/>
      <c r="U221" s="497"/>
      <c r="V221" s="497"/>
      <c r="W221" s="497"/>
      <c r="X221" s="497"/>
      <c r="Y221" s="497"/>
      <c r="Z221" s="497"/>
      <c r="AA221" s="497"/>
      <c r="AB221" s="497"/>
      <c r="AC221" s="497"/>
      <c r="AD221" s="497"/>
      <c r="AE221" s="497"/>
      <c r="AF221" s="497"/>
      <c r="AG221" s="497"/>
      <c r="AH221" s="497"/>
      <c r="AI221" s="497"/>
      <c r="AJ221" s="497"/>
      <c r="AK221" s="497"/>
      <c r="AL221" s="497"/>
      <c r="AM221" s="497"/>
      <c r="AN221" s="497"/>
      <c r="AO221" s="497"/>
      <c r="AP221" s="497"/>
      <c r="AQ221" s="497"/>
      <c r="AR221" s="498"/>
    </row>
    <row r="222" spans="3:44" ht="18" customHeight="1">
      <c r="C222" s="499"/>
      <c r="D222" s="500"/>
      <c r="E222" s="500"/>
      <c r="F222" s="500"/>
      <c r="G222" s="500"/>
      <c r="H222" s="500"/>
      <c r="I222" s="500"/>
      <c r="J222" s="500"/>
      <c r="K222" s="500"/>
      <c r="L222" s="500"/>
      <c r="M222" s="500"/>
      <c r="N222" s="500"/>
      <c r="O222" s="500"/>
      <c r="P222" s="500"/>
      <c r="Q222" s="500"/>
      <c r="R222" s="500"/>
      <c r="S222" s="500"/>
      <c r="T222" s="500"/>
      <c r="U222" s="500"/>
      <c r="V222" s="500"/>
      <c r="W222" s="500"/>
      <c r="X222" s="500"/>
      <c r="Y222" s="500"/>
      <c r="Z222" s="500"/>
      <c r="AA222" s="500"/>
      <c r="AB222" s="500"/>
      <c r="AC222" s="500"/>
      <c r="AD222" s="500"/>
      <c r="AE222" s="500"/>
      <c r="AF222" s="500"/>
      <c r="AG222" s="500"/>
      <c r="AH222" s="500"/>
      <c r="AI222" s="500"/>
      <c r="AJ222" s="500"/>
      <c r="AK222" s="500"/>
      <c r="AL222" s="500"/>
      <c r="AM222" s="500"/>
      <c r="AN222" s="500"/>
      <c r="AO222" s="500"/>
      <c r="AP222" s="500"/>
      <c r="AQ222" s="500"/>
      <c r="AR222" s="501"/>
    </row>
    <row r="223" spans="3:44" ht="18" customHeight="1">
      <c r="C223" s="502" t="s">
        <v>65</v>
      </c>
      <c r="D223" s="503"/>
      <c r="E223" s="503"/>
      <c r="F223" s="504"/>
      <c r="G223" s="508" t="s">
        <v>108</v>
      </c>
      <c r="H223" s="509"/>
      <c r="I223" s="509"/>
      <c r="J223" s="509"/>
      <c r="K223" s="512" t="s">
        <v>66</v>
      </c>
      <c r="L223" s="512"/>
      <c r="M223" s="512"/>
      <c r="N223" s="513"/>
      <c r="O223" s="526" t="s">
        <v>639</v>
      </c>
      <c r="P223" s="526"/>
      <c r="Q223" s="526"/>
      <c r="R223" s="526"/>
      <c r="S223" s="526"/>
      <c r="T223" s="526"/>
      <c r="U223" s="526"/>
      <c r="V223" s="526"/>
      <c r="W223" s="526"/>
      <c r="X223" s="526"/>
      <c r="Y223" s="526"/>
      <c r="Z223" s="526"/>
      <c r="AA223" s="526"/>
      <c r="AB223" s="526"/>
      <c r="AC223" s="526"/>
      <c r="AD223" s="526"/>
      <c r="AE223" s="526"/>
      <c r="AF223" s="526"/>
      <c r="AG223" s="526"/>
      <c r="AH223" s="526"/>
      <c r="AI223" s="526"/>
      <c r="AJ223" s="526"/>
      <c r="AK223" s="527"/>
      <c r="AL223" s="512" t="s">
        <v>67</v>
      </c>
      <c r="AM223" s="512"/>
      <c r="AN223" s="512"/>
      <c r="AO223" s="513"/>
      <c r="AP223" s="516" t="s">
        <v>189</v>
      </c>
      <c r="AQ223" s="517"/>
      <c r="AR223" s="518"/>
    </row>
    <row r="224" spans="3:44" ht="18" customHeight="1">
      <c r="C224" s="505"/>
      <c r="D224" s="506"/>
      <c r="E224" s="506"/>
      <c r="F224" s="507"/>
      <c r="G224" s="510"/>
      <c r="H224" s="511"/>
      <c r="I224" s="511"/>
      <c r="J224" s="511"/>
      <c r="K224" s="514"/>
      <c r="L224" s="514"/>
      <c r="M224" s="514"/>
      <c r="N224" s="515"/>
      <c r="O224" s="528"/>
      <c r="P224" s="528"/>
      <c r="Q224" s="528"/>
      <c r="R224" s="528"/>
      <c r="S224" s="528"/>
      <c r="T224" s="528"/>
      <c r="U224" s="528"/>
      <c r="V224" s="528"/>
      <c r="W224" s="528"/>
      <c r="X224" s="528"/>
      <c r="Y224" s="528"/>
      <c r="Z224" s="528"/>
      <c r="AA224" s="528"/>
      <c r="AB224" s="528"/>
      <c r="AC224" s="528"/>
      <c r="AD224" s="528"/>
      <c r="AE224" s="528"/>
      <c r="AF224" s="528"/>
      <c r="AG224" s="528"/>
      <c r="AH224" s="528"/>
      <c r="AI224" s="528"/>
      <c r="AJ224" s="528"/>
      <c r="AK224" s="529"/>
      <c r="AL224" s="514"/>
      <c r="AM224" s="514"/>
      <c r="AN224" s="514"/>
      <c r="AO224" s="515"/>
      <c r="AP224" s="519"/>
      <c r="AQ224" s="520"/>
      <c r="AR224" s="521"/>
    </row>
    <row r="226" spans="3:44" ht="18" customHeight="1">
      <c r="C226" s="461" t="s">
        <v>43</v>
      </c>
      <c r="D226" s="451"/>
      <c r="E226" s="451"/>
      <c r="F226" s="451" t="s">
        <v>68</v>
      </c>
      <c r="G226" s="451"/>
      <c r="H226" s="451"/>
      <c r="I226" s="451"/>
      <c r="J226" s="451"/>
      <c r="K226" s="451"/>
      <c r="L226" s="451"/>
      <c r="M226" s="451"/>
      <c r="N226" s="451"/>
      <c r="O226" s="451"/>
      <c r="P226" s="451"/>
      <c r="Q226" s="451"/>
      <c r="R226" s="451"/>
      <c r="S226" s="451"/>
      <c r="T226" s="451"/>
      <c r="U226" s="451"/>
      <c r="V226" s="451" t="s">
        <v>249</v>
      </c>
      <c r="W226" s="451"/>
      <c r="X226" s="451"/>
      <c r="Y226" s="451" t="s">
        <v>69</v>
      </c>
      <c r="Z226" s="451"/>
      <c r="AA226" s="451"/>
      <c r="AB226" s="451"/>
      <c r="AC226" s="451"/>
      <c r="AD226" s="451"/>
      <c r="AE226" s="451"/>
      <c r="AF226" s="451"/>
      <c r="AG226" s="451" t="s">
        <v>70</v>
      </c>
      <c r="AH226" s="451"/>
      <c r="AI226" s="451"/>
      <c r="AJ226" s="451"/>
      <c r="AK226" s="451"/>
      <c r="AL226" s="451"/>
      <c r="AM226" s="451"/>
      <c r="AN226" s="451"/>
      <c r="AO226" s="451" t="s">
        <v>71</v>
      </c>
      <c r="AP226" s="451"/>
      <c r="AQ226" s="451"/>
      <c r="AR226" s="453"/>
    </row>
    <row r="227" spans="3:44" ht="18" customHeight="1">
      <c r="C227" s="462"/>
      <c r="D227" s="452"/>
      <c r="E227" s="452"/>
      <c r="F227" s="452"/>
      <c r="G227" s="452"/>
      <c r="H227" s="452"/>
      <c r="I227" s="452"/>
      <c r="J227" s="452"/>
      <c r="K227" s="452"/>
      <c r="L227" s="452"/>
      <c r="M227" s="452"/>
      <c r="N227" s="452"/>
      <c r="O227" s="452"/>
      <c r="P227" s="452"/>
      <c r="Q227" s="452"/>
      <c r="R227" s="452"/>
      <c r="S227" s="452"/>
      <c r="T227" s="452"/>
      <c r="U227" s="452"/>
      <c r="V227" s="452"/>
      <c r="W227" s="452"/>
      <c r="X227" s="452"/>
      <c r="Y227" s="452" t="s">
        <v>72</v>
      </c>
      <c r="Z227" s="452"/>
      <c r="AA227" s="452"/>
      <c r="AB227" s="452"/>
      <c r="AC227" s="452" t="s">
        <v>73</v>
      </c>
      <c r="AD227" s="452"/>
      <c r="AE227" s="452"/>
      <c r="AF227" s="452"/>
      <c r="AG227" s="452" t="s">
        <v>72</v>
      </c>
      <c r="AH227" s="452"/>
      <c r="AI227" s="452"/>
      <c r="AJ227" s="452"/>
      <c r="AK227" s="452" t="s">
        <v>73</v>
      </c>
      <c r="AL227" s="452"/>
      <c r="AM227" s="452"/>
      <c r="AN227" s="452"/>
      <c r="AO227" s="452"/>
      <c r="AP227" s="452"/>
      <c r="AQ227" s="452"/>
      <c r="AR227" s="454"/>
    </row>
    <row r="228" spans="3:44" ht="18" customHeight="1">
      <c r="C228" s="455" t="s">
        <v>1392</v>
      </c>
      <c r="D228" s="456"/>
      <c r="E228" s="456"/>
      <c r="F228" s="493" t="s">
        <v>582</v>
      </c>
      <c r="G228" s="493"/>
      <c r="H228" s="493"/>
      <c r="I228" s="493"/>
      <c r="J228" s="493"/>
      <c r="K228" s="493"/>
      <c r="L228" s="493"/>
      <c r="M228" s="493"/>
      <c r="N228" s="493"/>
      <c r="O228" s="493"/>
      <c r="P228" s="493"/>
      <c r="Q228" s="493"/>
      <c r="R228" s="493"/>
      <c r="S228" s="493"/>
      <c r="T228" s="493"/>
      <c r="U228" s="493"/>
      <c r="V228" s="491">
        <v>1</v>
      </c>
      <c r="W228" s="491"/>
      <c r="X228" s="491"/>
      <c r="Y228" s="491">
        <v>0.3</v>
      </c>
      <c r="Z228" s="491"/>
      <c r="AA228" s="491"/>
      <c r="AB228" s="491"/>
      <c r="AC228" s="494">
        <f>1-Y228</f>
        <v>0.7</v>
      </c>
      <c r="AD228" s="494"/>
      <c r="AE228" s="494"/>
      <c r="AF228" s="494"/>
      <c r="AG228" s="491">
        <f>VLOOKUP(C228,[4]EQUIPAMENTOS!A$1:D$65536,3,FALSE)</f>
        <v>21.093699999999998</v>
      </c>
      <c r="AH228" s="491"/>
      <c r="AI228" s="491"/>
      <c r="AJ228" s="491"/>
      <c r="AK228" s="491">
        <f>VLOOKUP(C228,[4]EQUIPAMENTOS!A$1:D$65536,4,FALSE)</f>
        <v>15.1364</v>
      </c>
      <c r="AL228" s="491"/>
      <c r="AM228" s="491"/>
      <c r="AN228" s="491"/>
      <c r="AO228" s="491">
        <f>ROUND((Y228*AG228+AC228*AK228)*V228,2)</f>
        <v>16.920000000000002</v>
      </c>
      <c r="AP228" s="491"/>
      <c r="AQ228" s="491"/>
      <c r="AR228" s="492"/>
    </row>
    <row r="229" spans="3:44" ht="18" customHeight="1">
      <c r="C229" s="444" t="s">
        <v>1403</v>
      </c>
      <c r="D229" s="445"/>
      <c r="E229" s="445"/>
      <c r="F229" s="493" t="s">
        <v>856</v>
      </c>
      <c r="G229" s="493"/>
      <c r="H229" s="493"/>
      <c r="I229" s="493"/>
      <c r="J229" s="493"/>
      <c r="K229" s="493"/>
      <c r="L229" s="493"/>
      <c r="M229" s="493"/>
      <c r="N229" s="493"/>
      <c r="O229" s="493"/>
      <c r="P229" s="493"/>
      <c r="Q229" s="493"/>
      <c r="R229" s="493"/>
      <c r="S229" s="493"/>
      <c r="T229" s="493"/>
      <c r="U229" s="493"/>
      <c r="V229" s="491">
        <v>1</v>
      </c>
      <c r="W229" s="491"/>
      <c r="X229" s="491"/>
      <c r="Y229" s="491">
        <v>0.7</v>
      </c>
      <c r="Z229" s="491"/>
      <c r="AA229" s="491"/>
      <c r="AB229" s="491"/>
      <c r="AC229" s="494">
        <f>1-Y229</f>
        <v>0.30000000000000004</v>
      </c>
      <c r="AD229" s="494"/>
      <c r="AE229" s="494"/>
      <c r="AF229" s="494"/>
      <c r="AG229" s="491">
        <f>VLOOKUP(C229,[4]EQUIPAMENTOS!A$1:D$65536,3,FALSE)</f>
        <v>115.1918</v>
      </c>
      <c r="AH229" s="491"/>
      <c r="AI229" s="491"/>
      <c r="AJ229" s="491"/>
      <c r="AK229" s="491">
        <f>VLOOKUP(C229,[4]EQUIPAMENTOS!A$1:D$65536,4,FALSE)</f>
        <v>15.1364</v>
      </c>
      <c r="AL229" s="491"/>
      <c r="AM229" s="491"/>
      <c r="AN229" s="491"/>
      <c r="AO229" s="491">
        <f>ROUND((Y229*AG229+AC229*AK229)*V229,2)</f>
        <v>85.18</v>
      </c>
      <c r="AP229" s="491"/>
      <c r="AQ229" s="491"/>
      <c r="AR229" s="492"/>
    </row>
    <row r="230" spans="3:44" ht="18" customHeight="1">
      <c r="C230" s="444" t="s">
        <v>1379</v>
      </c>
      <c r="D230" s="445"/>
      <c r="E230" s="445"/>
      <c r="F230" s="493" t="s">
        <v>468</v>
      </c>
      <c r="G230" s="493"/>
      <c r="H230" s="493"/>
      <c r="I230" s="493"/>
      <c r="J230" s="493"/>
      <c r="K230" s="493"/>
      <c r="L230" s="493"/>
      <c r="M230" s="493"/>
      <c r="N230" s="493"/>
      <c r="O230" s="493"/>
      <c r="P230" s="493"/>
      <c r="Q230" s="493"/>
      <c r="R230" s="493"/>
      <c r="S230" s="493"/>
      <c r="T230" s="493"/>
      <c r="U230" s="493"/>
      <c r="V230" s="465">
        <v>1</v>
      </c>
      <c r="W230" s="465"/>
      <c r="X230" s="465"/>
      <c r="Y230" s="465">
        <v>0.3</v>
      </c>
      <c r="Z230" s="465"/>
      <c r="AA230" s="465"/>
      <c r="AB230" s="465"/>
      <c r="AC230" s="494">
        <f>1-Y230</f>
        <v>0.7</v>
      </c>
      <c r="AD230" s="494"/>
      <c r="AE230" s="494"/>
      <c r="AF230" s="494"/>
      <c r="AG230" s="491">
        <f>VLOOKUP(C230,[4]EQUIPAMENTOS!A$1:D$65536,3,FALSE)</f>
        <v>3.1082000000000001</v>
      </c>
      <c r="AH230" s="491"/>
      <c r="AI230" s="491"/>
      <c r="AJ230" s="491"/>
      <c r="AK230" s="491">
        <f>VLOOKUP(C230,[4]EQUIPAMENTOS!A$1:D$65536,4,FALSE)</f>
        <v>0</v>
      </c>
      <c r="AL230" s="491"/>
      <c r="AM230" s="491"/>
      <c r="AN230" s="491"/>
      <c r="AO230" s="491">
        <f>ROUND((Y230*AG230+AC230*AK230)*V230,2)</f>
        <v>0.93</v>
      </c>
      <c r="AP230" s="491"/>
      <c r="AQ230" s="491"/>
      <c r="AR230" s="492"/>
    </row>
    <row r="231" spans="3:44" ht="18" customHeight="1">
      <c r="C231" s="444"/>
      <c r="D231" s="445"/>
      <c r="E231" s="445"/>
      <c r="F231" s="463"/>
      <c r="G231" s="463"/>
      <c r="H231" s="463"/>
      <c r="I231" s="463"/>
      <c r="J231" s="463"/>
      <c r="K231" s="463"/>
      <c r="L231" s="463"/>
      <c r="M231" s="463"/>
      <c r="N231" s="463"/>
      <c r="O231" s="463"/>
      <c r="P231" s="463"/>
      <c r="Q231" s="463"/>
      <c r="R231" s="463"/>
      <c r="S231" s="463"/>
      <c r="T231" s="463"/>
      <c r="U231" s="463"/>
      <c r="V231" s="465"/>
      <c r="W231" s="465"/>
      <c r="X231" s="465"/>
      <c r="Y231" s="465"/>
      <c r="Z231" s="465"/>
      <c r="AA231" s="465"/>
      <c r="AB231" s="465"/>
      <c r="AC231" s="490"/>
      <c r="AD231" s="490"/>
      <c r="AE231" s="490"/>
      <c r="AF231" s="490"/>
      <c r="AG231" s="465"/>
      <c r="AH231" s="465"/>
      <c r="AI231" s="465"/>
      <c r="AJ231" s="465"/>
      <c r="AK231" s="465"/>
      <c r="AL231" s="465"/>
      <c r="AM231" s="465"/>
      <c r="AN231" s="465"/>
      <c r="AO231" s="465"/>
      <c r="AP231" s="465"/>
      <c r="AQ231" s="465"/>
      <c r="AR231" s="489"/>
    </row>
    <row r="232" spans="3:44" ht="18" customHeight="1">
      <c r="C232" s="444"/>
      <c r="D232" s="445"/>
      <c r="E232" s="445"/>
      <c r="F232" s="463"/>
      <c r="G232" s="463"/>
      <c r="H232" s="463"/>
      <c r="I232" s="463"/>
      <c r="J232" s="463"/>
      <c r="K232" s="463"/>
      <c r="L232" s="463"/>
      <c r="M232" s="463"/>
      <c r="N232" s="463"/>
      <c r="O232" s="463"/>
      <c r="P232" s="463"/>
      <c r="Q232" s="463"/>
      <c r="R232" s="463"/>
      <c r="S232" s="463"/>
      <c r="T232" s="463"/>
      <c r="U232" s="463"/>
      <c r="V232" s="465"/>
      <c r="W232" s="465"/>
      <c r="X232" s="465"/>
      <c r="Y232" s="465"/>
      <c r="Z232" s="465"/>
      <c r="AA232" s="465"/>
      <c r="AB232" s="465"/>
      <c r="AC232" s="490"/>
      <c r="AD232" s="490"/>
      <c r="AE232" s="490"/>
      <c r="AF232" s="490"/>
      <c r="AG232" s="465"/>
      <c r="AH232" s="465"/>
      <c r="AI232" s="465"/>
      <c r="AJ232" s="465"/>
      <c r="AK232" s="465"/>
      <c r="AL232" s="465"/>
      <c r="AM232" s="465"/>
      <c r="AN232" s="465"/>
      <c r="AO232" s="465"/>
      <c r="AP232" s="465"/>
      <c r="AQ232" s="465"/>
      <c r="AR232" s="489"/>
    </row>
    <row r="233" spans="3:44" ht="18" customHeight="1">
      <c r="C233" s="444"/>
      <c r="D233" s="445"/>
      <c r="E233" s="445"/>
      <c r="F233" s="463"/>
      <c r="G233" s="463"/>
      <c r="H233" s="463"/>
      <c r="I233" s="463"/>
      <c r="J233" s="463"/>
      <c r="K233" s="463"/>
      <c r="L233" s="463"/>
      <c r="M233" s="463"/>
      <c r="N233" s="463"/>
      <c r="O233" s="463"/>
      <c r="P233" s="463"/>
      <c r="Q233" s="463"/>
      <c r="R233" s="463"/>
      <c r="S233" s="463"/>
      <c r="T233" s="463"/>
      <c r="U233" s="463"/>
      <c r="V233" s="465"/>
      <c r="W233" s="465"/>
      <c r="X233" s="465"/>
      <c r="Y233" s="465"/>
      <c r="Z233" s="465"/>
      <c r="AA233" s="465"/>
      <c r="AB233" s="465"/>
      <c r="AC233" s="490"/>
      <c r="AD233" s="490"/>
      <c r="AE233" s="490"/>
      <c r="AF233" s="490"/>
      <c r="AG233" s="465"/>
      <c r="AH233" s="465"/>
      <c r="AI233" s="465"/>
      <c r="AJ233" s="465"/>
      <c r="AK233" s="465"/>
      <c r="AL233" s="465"/>
      <c r="AM233" s="465"/>
      <c r="AN233" s="465"/>
      <c r="AO233" s="465"/>
      <c r="AP233" s="465"/>
      <c r="AQ233" s="465"/>
      <c r="AR233" s="489"/>
    </row>
    <row r="234" spans="3:44" ht="18" customHeight="1">
      <c r="C234" s="444"/>
      <c r="D234" s="445"/>
      <c r="E234" s="445"/>
      <c r="F234" s="463"/>
      <c r="G234" s="463"/>
      <c r="H234" s="463"/>
      <c r="I234" s="463"/>
      <c r="J234" s="463"/>
      <c r="K234" s="463"/>
      <c r="L234" s="463"/>
      <c r="M234" s="463"/>
      <c r="N234" s="463"/>
      <c r="O234" s="463"/>
      <c r="P234" s="463"/>
      <c r="Q234" s="463"/>
      <c r="R234" s="463"/>
      <c r="S234" s="463"/>
      <c r="T234" s="463"/>
      <c r="U234" s="463"/>
      <c r="V234" s="465"/>
      <c r="W234" s="465"/>
      <c r="X234" s="465"/>
      <c r="Y234" s="465"/>
      <c r="Z234" s="465"/>
      <c r="AA234" s="465"/>
      <c r="AB234" s="465"/>
      <c r="AC234" s="490"/>
      <c r="AD234" s="490"/>
      <c r="AE234" s="490"/>
      <c r="AF234" s="490"/>
      <c r="AG234" s="465"/>
      <c r="AH234" s="465"/>
      <c r="AI234" s="465"/>
      <c r="AJ234" s="465"/>
      <c r="AK234" s="465"/>
      <c r="AL234" s="465"/>
      <c r="AM234" s="465"/>
      <c r="AN234" s="465"/>
      <c r="AO234" s="465"/>
      <c r="AP234" s="465"/>
      <c r="AQ234" s="465"/>
      <c r="AR234" s="489"/>
    </row>
    <row r="235" spans="3:44" ht="18" customHeight="1">
      <c r="C235" s="444"/>
      <c r="D235" s="445"/>
      <c r="E235" s="445"/>
      <c r="F235" s="463"/>
      <c r="G235" s="463"/>
      <c r="H235" s="463"/>
      <c r="I235" s="463"/>
      <c r="J235" s="463"/>
      <c r="K235" s="463"/>
      <c r="L235" s="463"/>
      <c r="M235" s="463"/>
      <c r="N235" s="463"/>
      <c r="O235" s="463"/>
      <c r="P235" s="463"/>
      <c r="Q235" s="463"/>
      <c r="R235" s="463"/>
      <c r="S235" s="463"/>
      <c r="T235" s="463"/>
      <c r="U235" s="463"/>
      <c r="V235" s="465"/>
      <c r="W235" s="465"/>
      <c r="X235" s="465"/>
      <c r="Y235" s="465"/>
      <c r="Z235" s="465"/>
      <c r="AA235" s="465"/>
      <c r="AB235" s="465"/>
      <c r="AC235" s="490"/>
      <c r="AD235" s="490"/>
      <c r="AE235" s="490"/>
      <c r="AF235" s="490"/>
      <c r="AG235" s="465"/>
      <c r="AH235" s="465"/>
      <c r="AI235" s="465"/>
      <c r="AJ235" s="465"/>
      <c r="AK235" s="465"/>
      <c r="AL235" s="465"/>
      <c r="AM235" s="465"/>
      <c r="AN235" s="465"/>
      <c r="AO235" s="465"/>
      <c r="AP235" s="465"/>
      <c r="AQ235" s="465"/>
      <c r="AR235" s="489"/>
    </row>
    <row r="236" spans="3:44" ht="18" customHeight="1">
      <c r="C236" s="427"/>
      <c r="D236" s="428"/>
      <c r="E236" s="428"/>
      <c r="F236" s="428"/>
      <c r="G236" s="428"/>
      <c r="H236" s="428"/>
      <c r="I236" s="428"/>
      <c r="J236" s="428"/>
      <c r="K236" s="428"/>
      <c r="L236" s="428"/>
      <c r="M236" s="428"/>
      <c r="N236" s="428"/>
      <c r="O236" s="428"/>
      <c r="P236" s="428"/>
      <c r="Q236" s="428"/>
      <c r="R236" s="428"/>
      <c r="S236" s="428"/>
      <c r="T236" s="428"/>
      <c r="U236" s="428"/>
      <c r="V236" s="428"/>
      <c r="W236" s="428"/>
      <c r="X236" s="428"/>
      <c r="Y236" s="495" t="s">
        <v>74</v>
      </c>
      <c r="Z236" s="495"/>
      <c r="AA236" s="495"/>
      <c r="AB236" s="495"/>
      <c r="AC236" s="495"/>
      <c r="AD236" s="495"/>
      <c r="AE236" s="495"/>
      <c r="AF236" s="495"/>
      <c r="AG236" s="495"/>
      <c r="AH236" s="495"/>
      <c r="AI236" s="495"/>
      <c r="AJ236" s="495"/>
      <c r="AK236" s="495"/>
      <c r="AL236" s="495"/>
      <c r="AM236" s="495"/>
      <c r="AN236" s="495"/>
      <c r="AO236" s="432">
        <f>SUM(AO228:AR235)</f>
        <v>103.03000000000002</v>
      </c>
      <c r="AP236" s="432"/>
      <c r="AQ236" s="432"/>
      <c r="AR236" s="433"/>
    </row>
    <row r="238" spans="3:44" ht="18" customHeight="1">
      <c r="C238" s="461" t="s">
        <v>43</v>
      </c>
      <c r="D238" s="451"/>
      <c r="E238" s="451"/>
      <c r="F238" s="451" t="s">
        <v>75</v>
      </c>
      <c r="G238" s="451"/>
      <c r="H238" s="451"/>
      <c r="I238" s="451"/>
      <c r="J238" s="451"/>
      <c r="K238" s="451"/>
      <c r="L238" s="451"/>
      <c r="M238" s="451"/>
      <c r="N238" s="451"/>
      <c r="O238" s="451"/>
      <c r="P238" s="451"/>
      <c r="Q238" s="451"/>
      <c r="R238" s="451"/>
      <c r="S238" s="451"/>
      <c r="T238" s="451"/>
      <c r="U238" s="451"/>
      <c r="V238" s="451"/>
      <c r="W238" s="451"/>
      <c r="X238" s="451"/>
      <c r="Y238" s="451"/>
      <c r="Z238" s="451"/>
      <c r="AA238" s="451"/>
      <c r="AB238" s="451"/>
      <c r="AC238" s="451" t="s">
        <v>76</v>
      </c>
      <c r="AD238" s="451"/>
      <c r="AE238" s="451"/>
      <c r="AF238" s="451"/>
      <c r="AG238" s="451" t="s">
        <v>249</v>
      </c>
      <c r="AH238" s="451"/>
      <c r="AI238" s="451"/>
      <c r="AJ238" s="451"/>
      <c r="AK238" s="451" t="s">
        <v>77</v>
      </c>
      <c r="AL238" s="451"/>
      <c r="AM238" s="451"/>
      <c r="AN238" s="451"/>
      <c r="AO238" s="451" t="s">
        <v>71</v>
      </c>
      <c r="AP238" s="451"/>
      <c r="AQ238" s="451"/>
      <c r="AR238" s="453"/>
    </row>
    <row r="239" spans="3:44" ht="18" customHeight="1">
      <c r="C239" s="462"/>
      <c r="D239" s="452"/>
      <c r="E239" s="452"/>
      <c r="F239" s="452"/>
      <c r="G239" s="452"/>
      <c r="H239" s="452"/>
      <c r="I239" s="452"/>
      <c r="J239" s="452"/>
      <c r="K239" s="452"/>
      <c r="L239" s="452"/>
      <c r="M239" s="452"/>
      <c r="N239" s="452"/>
      <c r="O239" s="452"/>
      <c r="P239" s="452"/>
      <c r="Q239" s="452"/>
      <c r="R239" s="452"/>
      <c r="S239" s="452"/>
      <c r="T239" s="452"/>
      <c r="U239" s="452"/>
      <c r="V239" s="452"/>
      <c r="W239" s="452"/>
      <c r="X239" s="452"/>
      <c r="Y239" s="452"/>
      <c r="Z239" s="452"/>
      <c r="AA239" s="452"/>
      <c r="AB239" s="452"/>
      <c r="AC239" s="452"/>
      <c r="AD239" s="452"/>
      <c r="AE239" s="452"/>
      <c r="AF239" s="452"/>
      <c r="AG239" s="452"/>
      <c r="AH239" s="452"/>
      <c r="AI239" s="452"/>
      <c r="AJ239" s="452"/>
      <c r="AK239" s="452"/>
      <c r="AL239" s="452"/>
      <c r="AM239" s="452"/>
      <c r="AN239" s="452"/>
      <c r="AO239" s="452"/>
      <c r="AP239" s="452"/>
      <c r="AQ239" s="452"/>
      <c r="AR239" s="454"/>
    </row>
    <row r="240" spans="3:44" ht="18" customHeight="1">
      <c r="C240" s="455" t="s">
        <v>940</v>
      </c>
      <c r="D240" s="456"/>
      <c r="E240" s="456"/>
      <c r="F240" s="493" t="s">
        <v>105</v>
      </c>
      <c r="G240" s="493"/>
      <c r="H240" s="493"/>
      <c r="I240" s="493"/>
      <c r="J240" s="493"/>
      <c r="K240" s="493"/>
      <c r="L240" s="493"/>
      <c r="M240" s="493"/>
      <c r="N240" s="493"/>
      <c r="O240" s="493"/>
      <c r="P240" s="493"/>
      <c r="Q240" s="493"/>
      <c r="R240" s="493"/>
      <c r="S240" s="493"/>
      <c r="T240" s="493"/>
      <c r="U240" s="493"/>
      <c r="V240" s="493"/>
      <c r="W240" s="493"/>
      <c r="X240" s="493"/>
      <c r="Y240" s="493"/>
      <c r="Z240" s="493"/>
      <c r="AA240" s="493"/>
      <c r="AB240" s="493"/>
      <c r="AC240" s="449"/>
      <c r="AD240" s="449"/>
      <c r="AE240" s="449"/>
      <c r="AF240" s="449"/>
      <c r="AG240" s="449">
        <v>1</v>
      </c>
      <c r="AH240" s="449"/>
      <c r="AI240" s="449"/>
      <c r="AJ240" s="449"/>
      <c r="AK240" s="449">
        <f>VLOOKUP(C240,[4]MÃODEOBRA!A$1:D$65536,4,FALSE)</f>
        <v>22.98488</v>
      </c>
      <c r="AL240" s="449"/>
      <c r="AM240" s="449"/>
      <c r="AN240" s="449"/>
      <c r="AO240" s="491">
        <f>ROUND(AG240*AK240,2)</f>
        <v>22.98</v>
      </c>
      <c r="AP240" s="491"/>
      <c r="AQ240" s="491"/>
      <c r="AR240" s="492"/>
    </row>
    <row r="241" spans="3:44" ht="18" customHeight="1">
      <c r="C241" s="444" t="s">
        <v>1380</v>
      </c>
      <c r="D241" s="445"/>
      <c r="E241" s="445"/>
      <c r="F241" s="493" t="s">
        <v>469</v>
      </c>
      <c r="G241" s="493"/>
      <c r="H241" s="493"/>
      <c r="I241" s="493"/>
      <c r="J241" s="493"/>
      <c r="K241" s="493"/>
      <c r="L241" s="493"/>
      <c r="M241" s="493"/>
      <c r="N241" s="493"/>
      <c r="O241" s="493"/>
      <c r="P241" s="493"/>
      <c r="Q241" s="493"/>
      <c r="R241" s="493"/>
      <c r="S241" s="493"/>
      <c r="T241" s="493"/>
      <c r="U241" s="493"/>
      <c r="V241" s="493"/>
      <c r="W241" s="493"/>
      <c r="X241" s="493"/>
      <c r="Y241" s="493"/>
      <c r="Z241" s="493"/>
      <c r="AA241" s="493"/>
      <c r="AB241" s="493"/>
      <c r="AC241" s="425"/>
      <c r="AD241" s="425"/>
      <c r="AE241" s="425"/>
      <c r="AF241" s="425"/>
      <c r="AG241" s="425">
        <v>1</v>
      </c>
      <c r="AH241" s="425"/>
      <c r="AI241" s="425"/>
      <c r="AJ241" s="425"/>
      <c r="AK241" s="449">
        <f>VLOOKUP(C241,[4]MÃODEOBRA!A$1:D$65536,4,FALSE)</f>
        <v>11.156079999999999</v>
      </c>
      <c r="AL241" s="449"/>
      <c r="AM241" s="449"/>
      <c r="AN241" s="449"/>
      <c r="AO241" s="491">
        <f>ROUND(AG241*AK241,2)</f>
        <v>11.16</v>
      </c>
      <c r="AP241" s="491"/>
      <c r="AQ241" s="491"/>
      <c r="AR241" s="492"/>
    </row>
    <row r="242" spans="3:44" ht="18" customHeight="1">
      <c r="C242" s="444" t="s">
        <v>1375</v>
      </c>
      <c r="D242" s="445"/>
      <c r="E242" s="445"/>
      <c r="F242" s="463" t="s">
        <v>106</v>
      </c>
      <c r="G242" s="463"/>
      <c r="H242" s="463"/>
      <c r="I242" s="463"/>
      <c r="J242" s="463"/>
      <c r="K242" s="463"/>
      <c r="L242" s="463"/>
      <c r="M242" s="463"/>
      <c r="N242" s="463"/>
      <c r="O242" s="463"/>
      <c r="P242" s="463"/>
      <c r="Q242" s="463"/>
      <c r="R242" s="463"/>
      <c r="S242" s="463"/>
      <c r="T242" s="463"/>
      <c r="U242" s="463"/>
      <c r="V242" s="463"/>
      <c r="W242" s="463"/>
      <c r="X242" s="463"/>
      <c r="Y242" s="463"/>
      <c r="Z242" s="463"/>
      <c r="AA242" s="463"/>
      <c r="AB242" s="463"/>
      <c r="AC242" s="425"/>
      <c r="AD242" s="425"/>
      <c r="AE242" s="425"/>
      <c r="AF242" s="425"/>
      <c r="AG242" s="425">
        <v>2.8</v>
      </c>
      <c r="AH242" s="425"/>
      <c r="AI242" s="425"/>
      <c r="AJ242" s="425"/>
      <c r="AK242" s="449">
        <f>VLOOKUP(C242,[4]MÃODEOBRA!A$1:D$65536,4,FALSE)</f>
        <v>7.90456</v>
      </c>
      <c r="AL242" s="449"/>
      <c r="AM242" s="449"/>
      <c r="AN242" s="449"/>
      <c r="AO242" s="491">
        <f>ROUND(AG242*AK242,2)</f>
        <v>22.13</v>
      </c>
      <c r="AP242" s="491"/>
      <c r="AQ242" s="491"/>
      <c r="AR242" s="492"/>
    </row>
    <row r="243" spans="3:44" ht="18" customHeight="1">
      <c r="C243" s="444" t="s">
        <v>943</v>
      </c>
      <c r="D243" s="445"/>
      <c r="E243" s="445"/>
      <c r="F243" s="463" t="s">
        <v>128</v>
      </c>
      <c r="G243" s="463"/>
      <c r="H243" s="463"/>
      <c r="I243" s="463"/>
      <c r="J243" s="463"/>
      <c r="K243" s="463"/>
      <c r="L243" s="463"/>
      <c r="M243" s="463"/>
      <c r="N243" s="463"/>
      <c r="O243" s="463"/>
      <c r="P243" s="463"/>
      <c r="Q243" s="463"/>
      <c r="R243" s="463"/>
      <c r="S243" s="463"/>
      <c r="T243" s="463"/>
      <c r="U243" s="463"/>
      <c r="V243" s="463"/>
      <c r="W243" s="463"/>
      <c r="X243" s="463"/>
      <c r="Y243" s="463"/>
      <c r="Z243" s="463"/>
      <c r="AA243" s="463"/>
      <c r="AB243" s="463"/>
      <c r="AC243" s="425"/>
      <c r="AD243" s="425"/>
      <c r="AE243" s="425"/>
      <c r="AF243" s="425"/>
      <c r="AG243" s="425">
        <v>2</v>
      </c>
      <c r="AH243" s="425"/>
      <c r="AI243" s="425"/>
      <c r="AJ243" s="425"/>
      <c r="AK243" s="449">
        <f>VLOOKUP(C243,[4]MÃODEOBRA!A$1:D$65536,4,FALSE)</f>
        <v>8.6333500000000001</v>
      </c>
      <c r="AL243" s="449"/>
      <c r="AM243" s="449"/>
      <c r="AN243" s="449"/>
      <c r="AO243" s="491">
        <f>ROUND(AG243*AK243,2)</f>
        <v>17.27</v>
      </c>
      <c r="AP243" s="491"/>
      <c r="AQ243" s="491"/>
      <c r="AR243" s="492"/>
    </row>
    <row r="244" spans="3:44" ht="18" customHeight="1">
      <c r="C244" s="444"/>
      <c r="D244" s="445"/>
      <c r="E244" s="445"/>
      <c r="F244" s="463"/>
      <c r="G244" s="463"/>
      <c r="H244" s="463"/>
      <c r="I244" s="463"/>
      <c r="J244" s="463"/>
      <c r="K244" s="463"/>
      <c r="L244" s="463"/>
      <c r="M244" s="463"/>
      <c r="N244" s="463"/>
      <c r="O244" s="463"/>
      <c r="P244" s="463"/>
      <c r="Q244" s="463"/>
      <c r="R244" s="463"/>
      <c r="S244" s="463"/>
      <c r="T244" s="463"/>
      <c r="U244" s="463"/>
      <c r="V244" s="463"/>
      <c r="W244" s="463"/>
      <c r="X244" s="463"/>
      <c r="Y244" s="463"/>
      <c r="Z244" s="463"/>
      <c r="AA244" s="463"/>
      <c r="AB244" s="463"/>
      <c r="AC244" s="425"/>
      <c r="AD244" s="425"/>
      <c r="AE244" s="425"/>
      <c r="AF244" s="425"/>
      <c r="AG244" s="425"/>
      <c r="AH244" s="425"/>
      <c r="AI244" s="425"/>
      <c r="AJ244" s="425"/>
      <c r="AK244" s="425"/>
      <c r="AL244" s="425"/>
      <c r="AM244" s="425"/>
      <c r="AN244" s="425"/>
      <c r="AO244" s="465"/>
      <c r="AP244" s="465"/>
      <c r="AQ244" s="465"/>
      <c r="AR244" s="489"/>
    </row>
    <row r="245" spans="3:44" ht="18" customHeight="1">
      <c r="C245" s="444"/>
      <c r="D245" s="445"/>
      <c r="E245" s="445"/>
      <c r="F245" s="463"/>
      <c r="G245" s="463"/>
      <c r="H245" s="463"/>
      <c r="I245" s="463"/>
      <c r="J245" s="463"/>
      <c r="K245" s="463"/>
      <c r="L245" s="463"/>
      <c r="M245" s="463"/>
      <c r="N245" s="463"/>
      <c r="O245" s="463"/>
      <c r="P245" s="463"/>
      <c r="Q245" s="463"/>
      <c r="R245" s="463"/>
      <c r="S245" s="463"/>
      <c r="T245" s="463"/>
      <c r="U245" s="463"/>
      <c r="V245" s="463"/>
      <c r="W245" s="463"/>
      <c r="X245" s="463"/>
      <c r="Y245" s="463"/>
      <c r="Z245" s="463"/>
      <c r="AA245" s="463"/>
      <c r="AB245" s="463"/>
      <c r="AC245" s="425"/>
      <c r="AD245" s="425"/>
      <c r="AE245" s="425"/>
      <c r="AF245" s="425"/>
      <c r="AG245" s="425"/>
      <c r="AH245" s="425"/>
      <c r="AI245" s="425"/>
      <c r="AJ245" s="425"/>
      <c r="AK245" s="425"/>
      <c r="AL245" s="425"/>
      <c r="AM245" s="425"/>
      <c r="AN245" s="425"/>
      <c r="AO245" s="465"/>
      <c r="AP245" s="465"/>
      <c r="AQ245" s="465"/>
      <c r="AR245" s="489"/>
    </row>
    <row r="246" spans="3:44" ht="18" customHeight="1">
      <c r="C246" s="444"/>
      <c r="D246" s="445"/>
      <c r="E246" s="445"/>
      <c r="F246" s="463"/>
      <c r="G246" s="463"/>
      <c r="H246" s="463"/>
      <c r="I246" s="463"/>
      <c r="J246" s="463"/>
      <c r="K246" s="463"/>
      <c r="L246" s="463"/>
      <c r="M246" s="463"/>
      <c r="N246" s="463"/>
      <c r="O246" s="463"/>
      <c r="P246" s="463"/>
      <c r="Q246" s="463"/>
      <c r="R246" s="463"/>
      <c r="S246" s="463"/>
      <c r="T246" s="463"/>
      <c r="U246" s="463"/>
      <c r="V246" s="463"/>
      <c r="W246" s="463"/>
      <c r="X246" s="463"/>
      <c r="Y246" s="463"/>
      <c r="Z246" s="463"/>
      <c r="AA246" s="463"/>
      <c r="AB246" s="463"/>
      <c r="AC246" s="425"/>
      <c r="AD246" s="425"/>
      <c r="AE246" s="425"/>
      <c r="AF246" s="425"/>
      <c r="AG246" s="425"/>
      <c r="AH246" s="425"/>
      <c r="AI246" s="425"/>
      <c r="AJ246" s="425"/>
      <c r="AK246" s="425"/>
      <c r="AL246" s="425"/>
      <c r="AM246" s="425"/>
      <c r="AN246" s="425"/>
      <c r="AO246" s="465"/>
      <c r="AP246" s="465"/>
      <c r="AQ246" s="465"/>
      <c r="AR246" s="489"/>
    </row>
    <row r="247" spans="3:44" ht="18" customHeight="1">
      <c r="C247" s="444"/>
      <c r="D247" s="445"/>
      <c r="E247" s="445"/>
      <c r="F247" s="463"/>
      <c r="G247" s="463"/>
      <c r="H247" s="463"/>
      <c r="I247" s="463"/>
      <c r="J247" s="463"/>
      <c r="K247" s="463"/>
      <c r="L247" s="463"/>
      <c r="M247" s="463"/>
      <c r="N247" s="463"/>
      <c r="O247" s="463"/>
      <c r="P247" s="463"/>
      <c r="Q247" s="463"/>
      <c r="R247" s="463"/>
      <c r="S247" s="463"/>
      <c r="T247" s="463"/>
      <c r="U247" s="463"/>
      <c r="V247" s="463"/>
      <c r="W247" s="463"/>
      <c r="X247" s="463"/>
      <c r="Y247" s="463"/>
      <c r="Z247" s="463"/>
      <c r="AA247" s="463"/>
      <c r="AB247" s="463"/>
      <c r="AC247" s="425"/>
      <c r="AD247" s="425"/>
      <c r="AE247" s="425"/>
      <c r="AF247" s="425"/>
      <c r="AG247" s="425"/>
      <c r="AH247" s="425"/>
      <c r="AI247" s="425"/>
      <c r="AJ247" s="425"/>
      <c r="AK247" s="425"/>
      <c r="AL247" s="425"/>
      <c r="AM247" s="425"/>
      <c r="AN247" s="425"/>
      <c r="AO247" s="465"/>
      <c r="AP247" s="465"/>
      <c r="AQ247" s="465"/>
      <c r="AR247" s="489"/>
    </row>
    <row r="248" spans="3:44" ht="18" customHeight="1">
      <c r="C248" s="480"/>
      <c r="D248" s="481"/>
      <c r="E248" s="481"/>
      <c r="F248" s="481"/>
      <c r="G248" s="481"/>
      <c r="H248" s="481"/>
      <c r="I248" s="481"/>
      <c r="J248" s="481"/>
      <c r="K248" s="481"/>
      <c r="L248" s="481"/>
      <c r="M248" s="481"/>
      <c r="N248" s="481"/>
      <c r="O248" s="481"/>
      <c r="P248" s="481"/>
      <c r="Q248" s="481"/>
      <c r="R248" s="481"/>
      <c r="S248" s="481"/>
      <c r="T248" s="481"/>
      <c r="U248" s="481"/>
      <c r="V248" s="481"/>
      <c r="W248" s="481"/>
      <c r="X248" s="482"/>
      <c r="Y248" s="483" t="s">
        <v>78</v>
      </c>
      <c r="Z248" s="484"/>
      <c r="AA248" s="484"/>
      <c r="AB248" s="484"/>
      <c r="AC248" s="484"/>
      <c r="AD248" s="484"/>
      <c r="AE248" s="484"/>
      <c r="AF248" s="484"/>
      <c r="AG248" s="485" t="s">
        <v>267</v>
      </c>
      <c r="AH248" s="485"/>
      <c r="AI248" s="485"/>
      <c r="AJ248" s="485"/>
      <c r="AK248" s="465">
        <f>SUM(AO240:AR247)</f>
        <v>73.539999999999992</v>
      </c>
      <c r="AL248" s="486"/>
      <c r="AM248" s="486"/>
      <c r="AN248" s="486"/>
      <c r="AO248" s="487">
        <f>ROUND(AG248*AK248,2)</f>
        <v>15.08</v>
      </c>
      <c r="AP248" s="487"/>
      <c r="AQ248" s="487"/>
      <c r="AR248" s="488"/>
    </row>
    <row r="249" spans="3:44" ht="18" customHeight="1">
      <c r="C249" s="427"/>
      <c r="D249" s="428"/>
      <c r="E249" s="428"/>
      <c r="F249" s="428"/>
      <c r="G249" s="428"/>
      <c r="H249" s="428"/>
      <c r="I249" s="428"/>
      <c r="J249" s="428"/>
      <c r="K249" s="428"/>
      <c r="L249" s="428"/>
      <c r="M249" s="428"/>
      <c r="N249" s="428"/>
      <c r="O249" s="428"/>
      <c r="P249" s="428"/>
      <c r="Q249" s="428"/>
      <c r="R249" s="428"/>
      <c r="S249" s="428"/>
      <c r="T249" s="428"/>
      <c r="U249" s="428"/>
      <c r="V249" s="428"/>
      <c r="W249" s="428"/>
      <c r="X249" s="429"/>
      <c r="Y249" s="430" t="s">
        <v>79</v>
      </c>
      <c r="Z249" s="431"/>
      <c r="AA249" s="431"/>
      <c r="AB249" s="431"/>
      <c r="AC249" s="431"/>
      <c r="AD249" s="431"/>
      <c r="AE249" s="431"/>
      <c r="AF249" s="431"/>
      <c r="AG249" s="431"/>
      <c r="AH249" s="431"/>
      <c r="AI249" s="431"/>
      <c r="AJ249" s="431"/>
      <c r="AK249" s="431"/>
      <c r="AL249" s="431"/>
      <c r="AM249" s="431"/>
      <c r="AN249" s="431"/>
      <c r="AO249" s="432">
        <f>SUM(AO240:AR248)</f>
        <v>88.61999999999999</v>
      </c>
      <c r="AP249" s="432"/>
      <c r="AQ249" s="432"/>
      <c r="AR249" s="433"/>
    </row>
    <row r="251" spans="3:44" ht="18" customHeight="1">
      <c r="C251" s="469"/>
      <c r="D251" s="470"/>
      <c r="E251" s="470"/>
      <c r="F251" s="470"/>
      <c r="G251" s="470"/>
      <c r="H251" s="470"/>
      <c r="I251" s="470"/>
      <c r="J251" s="470"/>
      <c r="K251" s="470"/>
      <c r="L251" s="470"/>
      <c r="M251" s="470"/>
      <c r="N251" s="470"/>
      <c r="O251" s="470"/>
      <c r="P251" s="470"/>
      <c r="Q251" s="470"/>
      <c r="R251" s="470"/>
      <c r="S251" s="470"/>
      <c r="T251" s="470"/>
      <c r="U251" s="470"/>
      <c r="V251" s="470"/>
      <c r="W251" s="470"/>
      <c r="X251" s="471"/>
      <c r="Y251" s="472" t="s">
        <v>80</v>
      </c>
      <c r="Z251" s="472"/>
      <c r="AA251" s="472"/>
      <c r="AB251" s="472"/>
      <c r="AC251" s="472"/>
      <c r="AD251" s="472"/>
      <c r="AE251" s="472"/>
      <c r="AF251" s="472"/>
      <c r="AG251" s="472"/>
      <c r="AH251" s="472"/>
      <c r="AI251" s="472"/>
      <c r="AJ251" s="472"/>
      <c r="AK251" s="472"/>
      <c r="AL251" s="472"/>
      <c r="AM251" s="472"/>
      <c r="AN251" s="472"/>
      <c r="AO251" s="473">
        <f>AO236+AO249</f>
        <v>191.65</v>
      </c>
      <c r="AP251" s="474"/>
      <c r="AQ251" s="474"/>
      <c r="AR251" s="475"/>
    </row>
    <row r="252" spans="3:44" ht="18" customHeight="1">
      <c r="C252" s="476" t="s">
        <v>81</v>
      </c>
      <c r="D252" s="431"/>
      <c r="E252" s="431"/>
      <c r="F252" s="431"/>
      <c r="G252" s="431"/>
      <c r="H252" s="431"/>
      <c r="I252" s="431"/>
      <c r="J252" s="431"/>
      <c r="K252" s="431"/>
      <c r="L252" s="431"/>
      <c r="M252" s="431"/>
      <c r="N252" s="431"/>
      <c r="O252" s="431"/>
      <c r="P252" s="431"/>
      <c r="Q252" s="432">
        <v>1</v>
      </c>
      <c r="R252" s="432"/>
      <c r="S252" s="432"/>
      <c r="T252" s="432"/>
      <c r="U252" s="477"/>
      <c r="V252" s="430" t="s">
        <v>189</v>
      </c>
      <c r="W252" s="431"/>
      <c r="X252" s="431"/>
      <c r="Y252" s="472" t="s">
        <v>82</v>
      </c>
      <c r="Z252" s="472"/>
      <c r="AA252" s="472"/>
      <c r="AB252" s="472"/>
      <c r="AC252" s="472"/>
      <c r="AD252" s="472"/>
      <c r="AE252" s="472"/>
      <c r="AF252" s="472"/>
      <c r="AG252" s="472"/>
      <c r="AH252" s="472"/>
      <c r="AI252" s="472"/>
      <c r="AJ252" s="472"/>
      <c r="AK252" s="472"/>
      <c r="AL252" s="472"/>
      <c r="AM252" s="472"/>
      <c r="AN252" s="472"/>
      <c r="AO252" s="478">
        <f>ROUND(AO251/Q252,2)</f>
        <v>191.65</v>
      </c>
      <c r="AP252" s="478"/>
      <c r="AQ252" s="478"/>
      <c r="AR252" s="479"/>
    </row>
    <row r="254" spans="3:44" ht="18" customHeight="1">
      <c r="C254" s="461" t="s">
        <v>43</v>
      </c>
      <c r="D254" s="451"/>
      <c r="E254" s="451"/>
      <c r="F254" s="451" t="s">
        <v>83</v>
      </c>
      <c r="G254" s="451"/>
      <c r="H254" s="451"/>
      <c r="I254" s="451"/>
      <c r="J254" s="451"/>
      <c r="K254" s="451"/>
      <c r="L254" s="451"/>
      <c r="M254" s="451"/>
      <c r="N254" s="451"/>
      <c r="O254" s="451"/>
      <c r="P254" s="451"/>
      <c r="Q254" s="451"/>
      <c r="R254" s="451"/>
      <c r="S254" s="451"/>
      <c r="T254" s="451"/>
      <c r="U254" s="451"/>
      <c r="V254" s="451"/>
      <c r="W254" s="451"/>
      <c r="X254" s="451"/>
      <c r="Y254" s="451"/>
      <c r="Z254" s="451"/>
      <c r="AA254" s="451"/>
      <c r="AB254" s="451"/>
      <c r="AC254" s="451" t="s">
        <v>84</v>
      </c>
      <c r="AD254" s="451"/>
      <c r="AE254" s="451"/>
      <c r="AF254" s="451"/>
      <c r="AG254" s="451" t="s">
        <v>85</v>
      </c>
      <c r="AH254" s="451"/>
      <c r="AI254" s="451"/>
      <c r="AJ254" s="451"/>
      <c r="AK254" s="451" t="s">
        <v>86</v>
      </c>
      <c r="AL254" s="451"/>
      <c r="AM254" s="451"/>
      <c r="AN254" s="451"/>
      <c r="AO254" s="451" t="s">
        <v>87</v>
      </c>
      <c r="AP254" s="451"/>
      <c r="AQ254" s="451"/>
      <c r="AR254" s="453"/>
    </row>
    <row r="255" spans="3:44" ht="18" customHeight="1">
      <c r="C255" s="462"/>
      <c r="D255" s="452"/>
      <c r="E255" s="452"/>
      <c r="F255" s="452"/>
      <c r="G255" s="452"/>
      <c r="H255" s="452"/>
      <c r="I255" s="452"/>
      <c r="J255" s="452"/>
      <c r="K255" s="452"/>
      <c r="L255" s="452"/>
      <c r="M255" s="452"/>
      <c r="N255" s="452"/>
      <c r="O255" s="452"/>
      <c r="P255" s="452"/>
      <c r="Q255" s="452"/>
      <c r="R255" s="452"/>
      <c r="S255" s="452"/>
      <c r="T255" s="452"/>
      <c r="U255" s="452"/>
      <c r="V255" s="452"/>
      <c r="W255" s="452"/>
      <c r="X255" s="452"/>
      <c r="Y255" s="452"/>
      <c r="Z255" s="452"/>
      <c r="AA255" s="452"/>
      <c r="AB255" s="452"/>
      <c r="AC255" s="452"/>
      <c r="AD255" s="452"/>
      <c r="AE255" s="452"/>
      <c r="AF255" s="452"/>
      <c r="AG255" s="452"/>
      <c r="AH255" s="452"/>
      <c r="AI255" s="452"/>
      <c r="AJ255" s="452"/>
      <c r="AK255" s="452"/>
      <c r="AL255" s="452"/>
      <c r="AM255" s="452"/>
      <c r="AN255" s="452"/>
      <c r="AO255" s="452"/>
      <c r="AP255" s="452"/>
      <c r="AQ255" s="452"/>
      <c r="AR255" s="454"/>
    </row>
    <row r="256" spans="3:44" ht="18" customHeight="1">
      <c r="C256" s="455" t="s">
        <v>238</v>
      </c>
      <c r="D256" s="456"/>
      <c r="E256" s="456"/>
      <c r="F256" s="463" t="s">
        <v>583</v>
      </c>
      <c r="G256" s="463"/>
      <c r="H256" s="463"/>
      <c r="I256" s="463"/>
      <c r="J256" s="463"/>
      <c r="K256" s="463"/>
      <c r="L256" s="463"/>
      <c r="M256" s="463"/>
      <c r="N256" s="463"/>
      <c r="O256" s="463"/>
      <c r="P256" s="463"/>
      <c r="Q256" s="463"/>
      <c r="R256" s="463"/>
      <c r="S256" s="463"/>
      <c r="T256" s="463"/>
      <c r="U256" s="463"/>
      <c r="V256" s="463"/>
      <c r="W256" s="463"/>
      <c r="X256" s="463"/>
      <c r="Y256" s="463"/>
      <c r="Z256" s="463"/>
      <c r="AA256" s="463"/>
      <c r="AB256" s="463"/>
      <c r="AC256" s="464" t="s">
        <v>246</v>
      </c>
      <c r="AD256" s="464"/>
      <c r="AE256" s="464"/>
      <c r="AF256" s="464"/>
      <c r="AG256" s="465">
        <v>4.3899999999999997</v>
      </c>
      <c r="AH256" s="465"/>
      <c r="AI256" s="465"/>
      <c r="AJ256" s="465"/>
      <c r="AK256" s="424">
        <v>95</v>
      </c>
      <c r="AL256" s="424"/>
      <c r="AM256" s="424"/>
      <c r="AN256" s="424"/>
      <c r="AO256" s="449">
        <f>ROUND(AG256*AK256,2)</f>
        <v>417.05</v>
      </c>
      <c r="AP256" s="449"/>
      <c r="AQ256" s="449"/>
      <c r="AR256" s="450"/>
    </row>
    <row r="257" spans="3:44" ht="18" customHeight="1">
      <c r="C257" s="444" t="s">
        <v>238</v>
      </c>
      <c r="D257" s="445"/>
      <c r="E257" s="445"/>
      <c r="F257" s="463" t="s">
        <v>676</v>
      </c>
      <c r="G257" s="463"/>
      <c r="H257" s="463"/>
      <c r="I257" s="463"/>
      <c r="J257" s="463"/>
      <c r="K257" s="463"/>
      <c r="L257" s="463"/>
      <c r="M257" s="463"/>
      <c r="N257" s="463"/>
      <c r="O257" s="463"/>
      <c r="P257" s="463"/>
      <c r="Q257" s="463"/>
      <c r="R257" s="463"/>
      <c r="S257" s="463"/>
      <c r="T257" s="463"/>
      <c r="U257" s="463"/>
      <c r="V257" s="463"/>
      <c r="W257" s="463"/>
      <c r="X257" s="463"/>
      <c r="Y257" s="463"/>
      <c r="Z257" s="463"/>
      <c r="AA257" s="463"/>
      <c r="AB257" s="463"/>
      <c r="AC257" s="464" t="s">
        <v>246</v>
      </c>
      <c r="AD257" s="464"/>
      <c r="AE257" s="464"/>
      <c r="AF257" s="464"/>
      <c r="AG257" s="465">
        <v>2.52</v>
      </c>
      <c r="AH257" s="465"/>
      <c r="AI257" s="465"/>
      <c r="AJ257" s="465"/>
      <c r="AK257" s="424">
        <v>0.5</v>
      </c>
      <c r="AL257" s="424"/>
      <c r="AM257" s="424"/>
      <c r="AN257" s="424"/>
      <c r="AO257" s="449">
        <f>ROUND(AG257*AK257,2)</f>
        <v>1.26</v>
      </c>
      <c r="AP257" s="449"/>
      <c r="AQ257" s="449"/>
      <c r="AR257" s="450"/>
    </row>
    <row r="258" spans="3:44" ht="18" customHeight="1">
      <c r="C258" s="455" t="s">
        <v>1404</v>
      </c>
      <c r="D258" s="456"/>
      <c r="E258" s="456"/>
      <c r="F258" s="463" t="s">
        <v>584</v>
      </c>
      <c r="G258" s="463"/>
      <c r="H258" s="463"/>
      <c r="I258" s="463"/>
      <c r="J258" s="463"/>
      <c r="K258" s="463"/>
      <c r="L258" s="463"/>
      <c r="M258" s="463"/>
      <c r="N258" s="463"/>
      <c r="O258" s="463"/>
      <c r="P258" s="463"/>
      <c r="Q258" s="463"/>
      <c r="R258" s="463"/>
      <c r="S258" s="463"/>
      <c r="T258" s="463"/>
      <c r="U258" s="463"/>
      <c r="V258" s="463"/>
      <c r="W258" s="463"/>
      <c r="X258" s="463"/>
      <c r="Y258" s="463"/>
      <c r="Z258" s="463"/>
      <c r="AA258" s="463"/>
      <c r="AB258" s="463"/>
      <c r="AC258" s="464" t="s">
        <v>587</v>
      </c>
      <c r="AD258" s="464"/>
      <c r="AE258" s="464"/>
      <c r="AF258" s="464"/>
      <c r="AG258" s="466">
        <f>VLOOKUP(C258,[4]MATERIAL!A$1:D$65536,4,FALSE)</f>
        <v>12.08</v>
      </c>
      <c r="AH258" s="467"/>
      <c r="AI258" s="467"/>
      <c r="AJ258" s="468"/>
      <c r="AK258" s="424">
        <v>0.05</v>
      </c>
      <c r="AL258" s="424"/>
      <c r="AM258" s="424"/>
      <c r="AN258" s="424"/>
      <c r="AO258" s="449">
        <f>ROUND(AG258*AK258,2)</f>
        <v>0.6</v>
      </c>
      <c r="AP258" s="449"/>
      <c r="AQ258" s="449"/>
      <c r="AR258" s="450"/>
    </row>
    <row r="259" spans="3:44" ht="18" customHeight="1">
      <c r="C259" s="455" t="s">
        <v>1405</v>
      </c>
      <c r="D259" s="456"/>
      <c r="E259" s="456"/>
      <c r="F259" s="463" t="s">
        <v>585</v>
      </c>
      <c r="G259" s="463"/>
      <c r="H259" s="463"/>
      <c r="I259" s="463"/>
      <c r="J259" s="463"/>
      <c r="K259" s="463"/>
      <c r="L259" s="463"/>
      <c r="M259" s="463"/>
      <c r="N259" s="463"/>
      <c r="O259" s="463"/>
      <c r="P259" s="463"/>
      <c r="Q259" s="463"/>
      <c r="R259" s="463"/>
      <c r="S259" s="463"/>
      <c r="T259" s="463"/>
      <c r="U259" s="463"/>
      <c r="V259" s="463"/>
      <c r="W259" s="463"/>
      <c r="X259" s="463"/>
      <c r="Y259" s="463"/>
      <c r="Z259" s="463"/>
      <c r="AA259" s="463"/>
      <c r="AB259" s="463"/>
      <c r="AC259" s="464" t="s">
        <v>246</v>
      </c>
      <c r="AD259" s="464"/>
      <c r="AE259" s="464"/>
      <c r="AF259" s="464"/>
      <c r="AG259" s="466">
        <f>VLOOKUP(C259,[4]MATERIAL!A$1:D$65536,4,FALSE)</f>
        <v>23.33</v>
      </c>
      <c r="AH259" s="467"/>
      <c r="AI259" s="467"/>
      <c r="AJ259" s="468"/>
      <c r="AK259" s="424">
        <v>0.03</v>
      </c>
      <c r="AL259" s="424"/>
      <c r="AM259" s="424"/>
      <c r="AN259" s="424"/>
      <c r="AO259" s="449">
        <f>ROUND(AG259*AK259,2)</f>
        <v>0.7</v>
      </c>
      <c r="AP259" s="449"/>
      <c r="AQ259" s="449"/>
      <c r="AR259" s="450"/>
    </row>
    <row r="260" spans="3:44" ht="18" customHeight="1">
      <c r="C260" s="455" t="s">
        <v>1382</v>
      </c>
      <c r="D260" s="456"/>
      <c r="E260" s="456"/>
      <c r="F260" s="463" t="s">
        <v>586</v>
      </c>
      <c r="G260" s="463"/>
      <c r="H260" s="463"/>
      <c r="I260" s="463"/>
      <c r="J260" s="463"/>
      <c r="K260" s="463"/>
      <c r="L260" s="463"/>
      <c r="M260" s="463"/>
      <c r="N260" s="463"/>
      <c r="O260" s="463"/>
      <c r="P260" s="463"/>
      <c r="Q260" s="463"/>
      <c r="R260" s="463"/>
      <c r="S260" s="463"/>
      <c r="T260" s="463"/>
      <c r="U260" s="463"/>
      <c r="V260" s="463"/>
      <c r="W260" s="463"/>
      <c r="X260" s="463"/>
      <c r="Y260" s="463"/>
      <c r="Z260" s="463"/>
      <c r="AA260" s="463"/>
      <c r="AB260" s="463"/>
      <c r="AC260" s="464" t="s">
        <v>246</v>
      </c>
      <c r="AD260" s="464"/>
      <c r="AE260" s="464"/>
      <c r="AF260" s="464"/>
      <c r="AG260" s="466">
        <f>VLOOKUP(C260,[4]MATERIAL!A$1:D$65536,4,FALSE)</f>
        <v>8.84</v>
      </c>
      <c r="AH260" s="467"/>
      <c r="AI260" s="467"/>
      <c r="AJ260" s="468"/>
      <c r="AK260" s="424">
        <v>0.15</v>
      </c>
      <c r="AL260" s="424"/>
      <c r="AM260" s="424"/>
      <c r="AN260" s="424"/>
      <c r="AO260" s="449">
        <f>ROUND(AG260*AK260,2)</f>
        <v>1.33</v>
      </c>
      <c r="AP260" s="449"/>
      <c r="AQ260" s="449"/>
      <c r="AR260" s="450"/>
    </row>
    <row r="261" spans="3:44" ht="18" customHeight="1">
      <c r="C261" s="444"/>
      <c r="D261" s="445"/>
      <c r="E261" s="445"/>
      <c r="F261" s="463"/>
      <c r="G261" s="463"/>
      <c r="H261" s="463"/>
      <c r="I261" s="463"/>
      <c r="J261" s="463"/>
      <c r="K261" s="463"/>
      <c r="L261" s="463"/>
      <c r="M261" s="463"/>
      <c r="N261" s="463"/>
      <c r="O261" s="463"/>
      <c r="P261" s="463"/>
      <c r="Q261" s="463"/>
      <c r="R261" s="463"/>
      <c r="S261" s="463"/>
      <c r="T261" s="463"/>
      <c r="U261" s="463"/>
      <c r="V261" s="463"/>
      <c r="W261" s="463"/>
      <c r="X261" s="463"/>
      <c r="Y261" s="463"/>
      <c r="Z261" s="463"/>
      <c r="AA261" s="463"/>
      <c r="AB261" s="463"/>
      <c r="AC261" s="464"/>
      <c r="AD261" s="464"/>
      <c r="AE261" s="464"/>
      <c r="AF261" s="464"/>
      <c r="AG261" s="465"/>
      <c r="AH261" s="465"/>
      <c r="AI261" s="465"/>
      <c r="AJ261" s="465"/>
      <c r="AK261" s="424"/>
      <c r="AL261" s="424"/>
      <c r="AM261" s="424"/>
      <c r="AN261" s="424"/>
      <c r="AO261" s="425"/>
      <c r="AP261" s="425"/>
      <c r="AQ261" s="425"/>
      <c r="AR261" s="426"/>
    </row>
    <row r="262" spans="3:44" ht="18" customHeight="1">
      <c r="C262" s="444"/>
      <c r="D262" s="445"/>
      <c r="E262" s="445"/>
      <c r="F262" s="463"/>
      <c r="G262" s="463"/>
      <c r="H262" s="463"/>
      <c r="I262" s="463"/>
      <c r="J262" s="463"/>
      <c r="K262" s="463"/>
      <c r="L262" s="463"/>
      <c r="M262" s="463"/>
      <c r="N262" s="463"/>
      <c r="O262" s="463"/>
      <c r="P262" s="463"/>
      <c r="Q262" s="463"/>
      <c r="R262" s="463"/>
      <c r="S262" s="463"/>
      <c r="T262" s="463"/>
      <c r="U262" s="463"/>
      <c r="V262" s="463"/>
      <c r="W262" s="463"/>
      <c r="X262" s="463"/>
      <c r="Y262" s="463"/>
      <c r="Z262" s="463"/>
      <c r="AA262" s="463"/>
      <c r="AB262" s="463"/>
      <c r="AC262" s="464"/>
      <c r="AD262" s="464"/>
      <c r="AE262" s="464"/>
      <c r="AF262" s="464"/>
      <c r="AG262" s="465"/>
      <c r="AH262" s="465"/>
      <c r="AI262" s="465"/>
      <c r="AJ262" s="465"/>
      <c r="AK262" s="424"/>
      <c r="AL262" s="424"/>
      <c r="AM262" s="424"/>
      <c r="AN262" s="424"/>
      <c r="AO262" s="425"/>
      <c r="AP262" s="425"/>
      <c r="AQ262" s="425"/>
      <c r="AR262" s="426"/>
    </row>
    <row r="263" spans="3:44" ht="18" customHeight="1">
      <c r="C263" s="444"/>
      <c r="D263" s="445"/>
      <c r="E263" s="445"/>
      <c r="F263" s="463"/>
      <c r="G263" s="463"/>
      <c r="H263" s="463"/>
      <c r="I263" s="463"/>
      <c r="J263" s="463"/>
      <c r="K263" s="463"/>
      <c r="L263" s="463"/>
      <c r="M263" s="463"/>
      <c r="N263" s="463"/>
      <c r="O263" s="463"/>
      <c r="P263" s="463"/>
      <c r="Q263" s="463"/>
      <c r="R263" s="463"/>
      <c r="S263" s="463"/>
      <c r="T263" s="463"/>
      <c r="U263" s="463"/>
      <c r="V263" s="463"/>
      <c r="W263" s="463"/>
      <c r="X263" s="463"/>
      <c r="Y263" s="463"/>
      <c r="Z263" s="463"/>
      <c r="AA263" s="463"/>
      <c r="AB263" s="463"/>
      <c r="AC263" s="464"/>
      <c r="AD263" s="464"/>
      <c r="AE263" s="464"/>
      <c r="AF263" s="464"/>
      <c r="AG263" s="465"/>
      <c r="AH263" s="465"/>
      <c r="AI263" s="465"/>
      <c r="AJ263" s="465"/>
      <c r="AK263" s="424"/>
      <c r="AL263" s="424"/>
      <c r="AM263" s="424"/>
      <c r="AN263" s="424"/>
      <c r="AO263" s="425"/>
      <c r="AP263" s="425"/>
      <c r="AQ263" s="425"/>
      <c r="AR263" s="426"/>
    </row>
    <row r="264" spans="3:44" ht="18" customHeight="1">
      <c r="C264" s="427"/>
      <c r="D264" s="428"/>
      <c r="E264" s="428"/>
      <c r="F264" s="428"/>
      <c r="G264" s="428"/>
      <c r="H264" s="428"/>
      <c r="I264" s="428"/>
      <c r="J264" s="428"/>
      <c r="K264" s="428"/>
      <c r="L264" s="428"/>
      <c r="M264" s="428"/>
      <c r="N264" s="428"/>
      <c r="O264" s="428"/>
      <c r="P264" s="428"/>
      <c r="Q264" s="428"/>
      <c r="R264" s="428"/>
      <c r="S264" s="428"/>
      <c r="T264" s="428"/>
      <c r="U264" s="428"/>
      <c r="V264" s="428"/>
      <c r="W264" s="428"/>
      <c r="X264" s="429"/>
      <c r="Y264" s="430" t="s">
        <v>88</v>
      </c>
      <c r="Z264" s="431"/>
      <c r="AA264" s="431"/>
      <c r="AB264" s="431"/>
      <c r="AC264" s="431"/>
      <c r="AD264" s="431"/>
      <c r="AE264" s="431"/>
      <c r="AF264" s="431"/>
      <c r="AG264" s="431"/>
      <c r="AH264" s="431"/>
      <c r="AI264" s="431"/>
      <c r="AJ264" s="431"/>
      <c r="AK264" s="431"/>
      <c r="AL264" s="431"/>
      <c r="AM264" s="431"/>
      <c r="AN264" s="431"/>
      <c r="AO264" s="432">
        <f>SUM(AO256:AR263)</f>
        <v>420.94</v>
      </c>
      <c r="AP264" s="432"/>
      <c r="AQ264" s="432"/>
      <c r="AR264" s="433"/>
    </row>
    <row r="266" spans="3:44" ht="18" customHeight="1">
      <c r="C266" s="461" t="s">
        <v>43</v>
      </c>
      <c r="D266" s="451"/>
      <c r="E266" s="451"/>
      <c r="F266" s="451" t="s">
        <v>89</v>
      </c>
      <c r="G266" s="451"/>
      <c r="H266" s="451"/>
      <c r="I266" s="451"/>
      <c r="J266" s="451"/>
      <c r="K266" s="451"/>
      <c r="L266" s="451"/>
      <c r="M266" s="451"/>
      <c r="N266" s="451"/>
      <c r="O266" s="451"/>
      <c r="P266" s="451"/>
      <c r="Q266" s="451"/>
      <c r="R266" s="451"/>
      <c r="S266" s="451" t="s">
        <v>90</v>
      </c>
      <c r="T266" s="451"/>
      <c r="U266" s="451"/>
      <c r="V266" s="451" t="s">
        <v>91</v>
      </c>
      <c r="W266" s="451"/>
      <c r="X266" s="451"/>
      <c r="Y266" s="451" t="s">
        <v>92</v>
      </c>
      <c r="Z266" s="451"/>
      <c r="AA266" s="451"/>
      <c r="AB266" s="451"/>
      <c r="AC266" s="451"/>
      <c r="AD266" s="451"/>
      <c r="AE266" s="451" t="s">
        <v>93</v>
      </c>
      <c r="AF266" s="451"/>
      <c r="AG266" s="451"/>
      <c r="AH266" s="451" t="s">
        <v>94</v>
      </c>
      <c r="AI266" s="451"/>
      <c r="AJ266" s="451"/>
      <c r="AK266" s="451" t="s">
        <v>86</v>
      </c>
      <c r="AL266" s="451"/>
      <c r="AM266" s="451"/>
      <c r="AN266" s="451"/>
      <c r="AO266" s="451" t="s">
        <v>87</v>
      </c>
      <c r="AP266" s="451"/>
      <c r="AQ266" s="451"/>
      <c r="AR266" s="453"/>
    </row>
    <row r="267" spans="3:44" ht="18" customHeight="1">
      <c r="C267" s="462"/>
      <c r="D267" s="452"/>
      <c r="E267" s="452"/>
      <c r="F267" s="452"/>
      <c r="G267" s="452"/>
      <c r="H267" s="452"/>
      <c r="I267" s="452"/>
      <c r="J267" s="452"/>
      <c r="K267" s="452"/>
      <c r="L267" s="452"/>
      <c r="M267" s="452"/>
      <c r="N267" s="452"/>
      <c r="O267" s="452"/>
      <c r="P267" s="452"/>
      <c r="Q267" s="452"/>
      <c r="R267" s="452"/>
      <c r="S267" s="452"/>
      <c r="T267" s="452"/>
      <c r="U267" s="452"/>
      <c r="V267" s="452"/>
      <c r="W267" s="452"/>
      <c r="X267" s="452"/>
      <c r="Y267" s="452"/>
      <c r="Z267" s="452"/>
      <c r="AA267" s="452"/>
      <c r="AB267" s="452"/>
      <c r="AC267" s="452"/>
      <c r="AD267" s="452"/>
      <c r="AE267" s="452"/>
      <c r="AF267" s="452"/>
      <c r="AG267" s="452"/>
      <c r="AH267" s="452"/>
      <c r="AI267" s="452"/>
      <c r="AJ267" s="452"/>
      <c r="AK267" s="452"/>
      <c r="AL267" s="452"/>
      <c r="AM267" s="452"/>
      <c r="AN267" s="452"/>
      <c r="AO267" s="452"/>
      <c r="AP267" s="452"/>
      <c r="AQ267" s="452"/>
      <c r="AR267" s="454"/>
    </row>
    <row r="268" spans="3:44" ht="18" customHeight="1">
      <c r="C268" s="455"/>
      <c r="D268" s="456"/>
      <c r="E268" s="456"/>
      <c r="F268" s="457"/>
      <c r="G268" s="457"/>
      <c r="H268" s="457"/>
      <c r="I268" s="457"/>
      <c r="J268" s="457"/>
      <c r="K268" s="457"/>
      <c r="L268" s="457"/>
      <c r="M268" s="457"/>
      <c r="N268" s="457"/>
      <c r="O268" s="457"/>
      <c r="P268" s="457"/>
      <c r="Q268" s="457"/>
      <c r="R268" s="457"/>
      <c r="S268" s="458"/>
      <c r="T268" s="458"/>
      <c r="U268" s="458"/>
      <c r="V268" s="458"/>
      <c r="W268" s="458"/>
      <c r="X268" s="458"/>
      <c r="Y268" s="459"/>
      <c r="Z268" s="459"/>
      <c r="AA268" s="459"/>
      <c r="AB268" s="459"/>
      <c r="AC268" s="459"/>
      <c r="AD268" s="459"/>
      <c r="AE268" s="449"/>
      <c r="AF268" s="449"/>
      <c r="AG268" s="449"/>
      <c r="AH268" s="449"/>
      <c r="AI268" s="449"/>
      <c r="AJ268" s="449"/>
      <c r="AK268" s="460"/>
      <c r="AL268" s="460"/>
      <c r="AM268" s="460"/>
      <c r="AN268" s="460"/>
      <c r="AO268" s="449">
        <f t="shared" ref="AO268:AO275" si="2">ROUND(AE268*AH268*AK268,2)</f>
        <v>0</v>
      </c>
      <c r="AP268" s="449"/>
      <c r="AQ268" s="449"/>
      <c r="AR268" s="450"/>
    </row>
    <row r="269" spans="3:44" ht="18" customHeight="1">
      <c r="C269" s="444"/>
      <c r="D269" s="445"/>
      <c r="E269" s="445"/>
      <c r="F269" s="446"/>
      <c r="G269" s="446"/>
      <c r="H269" s="446"/>
      <c r="I269" s="446"/>
      <c r="J269" s="446"/>
      <c r="K269" s="446"/>
      <c r="L269" s="446"/>
      <c r="M269" s="446"/>
      <c r="N269" s="446"/>
      <c r="O269" s="446"/>
      <c r="P269" s="446"/>
      <c r="Q269" s="446"/>
      <c r="R269" s="446"/>
      <c r="S269" s="447"/>
      <c r="T269" s="447"/>
      <c r="U269" s="447"/>
      <c r="V269" s="447"/>
      <c r="W269" s="447"/>
      <c r="X269" s="447"/>
      <c r="Y269" s="448"/>
      <c r="Z269" s="448"/>
      <c r="AA269" s="448"/>
      <c r="AB269" s="448"/>
      <c r="AC269" s="448"/>
      <c r="AD269" s="448"/>
      <c r="AE269" s="425"/>
      <c r="AF269" s="425"/>
      <c r="AG269" s="425"/>
      <c r="AH269" s="425"/>
      <c r="AI269" s="425"/>
      <c r="AJ269" s="425"/>
      <c r="AK269" s="424"/>
      <c r="AL269" s="424"/>
      <c r="AM269" s="424"/>
      <c r="AN269" s="424"/>
      <c r="AO269" s="425">
        <f t="shared" si="2"/>
        <v>0</v>
      </c>
      <c r="AP269" s="425"/>
      <c r="AQ269" s="425"/>
      <c r="AR269" s="426"/>
    </row>
    <row r="270" spans="3:44" ht="18" customHeight="1">
      <c r="C270" s="444"/>
      <c r="D270" s="445"/>
      <c r="E270" s="445"/>
      <c r="F270" s="446"/>
      <c r="G270" s="446"/>
      <c r="H270" s="446"/>
      <c r="I270" s="446"/>
      <c r="J270" s="446"/>
      <c r="K270" s="446"/>
      <c r="L270" s="446"/>
      <c r="M270" s="446"/>
      <c r="N270" s="446"/>
      <c r="O270" s="446"/>
      <c r="P270" s="446"/>
      <c r="Q270" s="446"/>
      <c r="R270" s="446"/>
      <c r="S270" s="447"/>
      <c r="T270" s="447"/>
      <c r="U270" s="447"/>
      <c r="V270" s="447"/>
      <c r="W270" s="447"/>
      <c r="X270" s="447"/>
      <c r="Y270" s="448"/>
      <c r="Z270" s="448"/>
      <c r="AA270" s="448"/>
      <c r="AB270" s="448"/>
      <c r="AC270" s="448"/>
      <c r="AD270" s="448"/>
      <c r="AE270" s="425"/>
      <c r="AF270" s="425"/>
      <c r="AG270" s="425"/>
      <c r="AH270" s="425"/>
      <c r="AI270" s="425"/>
      <c r="AJ270" s="425"/>
      <c r="AK270" s="424"/>
      <c r="AL270" s="424"/>
      <c r="AM270" s="424"/>
      <c r="AN270" s="424"/>
      <c r="AO270" s="425">
        <f t="shared" si="2"/>
        <v>0</v>
      </c>
      <c r="AP270" s="425"/>
      <c r="AQ270" s="425"/>
      <c r="AR270" s="426"/>
    </row>
    <row r="271" spans="3:44" ht="18" customHeight="1">
      <c r="C271" s="444"/>
      <c r="D271" s="445"/>
      <c r="E271" s="445"/>
      <c r="F271" s="446"/>
      <c r="G271" s="446"/>
      <c r="H271" s="446"/>
      <c r="I271" s="446"/>
      <c r="J271" s="446"/>
      <c r="K271" s="446"/>
      <c r="L271" s="446"/>
      <c r="M271" s="446"/>
      <c r="N271" s="446"/>
      <c r="O271" s="446"/>
      <c r="P271" s="446"/>
      <c r="Q271" s="446"/>
      <c r="R271" s="446"/>
      <c r="S271" s="447"/>
      <c r="T271" s="447"/>
      <c r="U271" s="447"/>
      <c r="V271" s="447"/>
      <c r="W271" s="447"/>
      <c r="X271" s="447"/>
      <c r="Y271" s="448"/>
      <c r="Z271" s="448"/>
      <c r="AA271" s="448"/>
      <c r="AB271" s="448"/>
      <c r="AC271" s="448"/>
      <c r="AD271" s="448"/>
      <c r="AE271" s="425"/>
      <c r="AF271" s="425"/>
      <c r="AG271" s="425"/>
      <c r="AH271" s="425"/>
      <c r="AI271" s="425"/>
      <c r="AJ271" s="425"/>
      <c r="AK271" s="424"/>
      <c r="AL271" s="424"/>
      <c r="AM271" s="424"/>
      <c r="AN271" s="424"/>
      <c r="AO271" s="425">
        <f t="shared" si="2"/>
        <v>0</v>
      </c>
      <c r="AP271" s="425"/>
      <c r="AQ271" s="425"/>
      <c r="AR271" s="426"/>
    </row>
    <row r="272" spans="3:44" ht="18" customHeight="1">
      <c r="C272" s="444"/>
      <c r="D272" s="445"/>
      <c r="E272" s="445"/>
      <c r="F272" s="446"/>
      <c r="G272" s="446"/>
      <c r="H272" s="446"/>
      <c r="I272" s="446"/>
      <c r="J272" s="446"/>
      <c r="K272" s="446"/>
      <c r="L272" s="446"/>
      <c r="M272" s="446"/>
      <c r="N272" s="446"/>
      <c r="O272" s="446"/>
      <c r="P272" s="446"/>
      <c r="Q272" s="446"/>
      <c r="R272" s="446"/>
      <c r="S272" s="447"/>
      <c r="T272" s="447"/>
      <c r="U272" s="447"/>
      <c r="V272" s="447"/>
      <c r="W272" s="447"/>
      <c r="X272" s="447"/>
      <c r="Y272" s="448"/>
      <c r="Z272" s="448"/>
      <c r="AA272" s="448"/>
      <c r="AB272" s="448"/>
      <c r="AC272" s="448"/>
      <c r="AD272" s="448"/>
      <c r="AE272" s="425"/>
      <c r="AF272" s="425"/>
      <c r="AG272" s="425"/>
      <c r="AH272" s="425"/>
      <c r="AI272" s="425"/>
      <c r="AJ272" s="425"/>
      <c r="AK272" s="424"/>
      <c r="AL272" s="424"/>
      <c r="AM272" s="424"/>
      <c r="AN272" s="424"/>
      <c r="AO272" s="425">
        <f t="shared" si="2"/>
        <v>0</v>
      </c>
      <c r="AP272" s="425"/>
      <c r="AQ272" s="425"/>
      <c r="AR272" s="426"/>
    </row>
    <row r="273" spans="1:44" ht="18" customHeight="1">
      <c r="C273" s="444"/>
      <c r="D273" s="445"/>
      <c r="E273" s="445"/>
      <c r="F273" s="446"/>
      <c r="G273" s="446"/>
      <c r="H273" s="446"/>
      <c r="I273" s="446"/>
      <c r="J273" s="446"/>
      <c r="K273" s="446"/>
      <c r="L273" s="446"/>
      <c r="M273" s="446"/>
      <c r="N273" s="446"/>
      <c r="O273" s="446"/>
      <c r="P273" s="446"/>
      <c r="Q273" s="446"/>
      <c r="R273" s="446"/>
      <c r="S273" s="447"/>
      <c r="T273" s="447"/>
      <c r="U273" s="447"/>
      <c r="V273" s="447"/>
      <c r="W273" s="447"/>
      <c r="X273" s="447"/>
      <c r="Y273" s="448"/>
      <c r="Z273" s="448"/>
      <c r="AA273" s="448"/>
      <c r="AB273" s="448"/>
      <c r="AC273" s="448"/>
      <c r="AD273" s="448"/>
      <c r="AE273" s="425"/>
      <c r="AF273" s="425"/>
      <c r="AG273" s="425"/>
      <c r="AH273" s="425"/>
      <c r="AI273" s="425"/>
      <c r="AJ273" s="425"/>
      <c r="AK273" s="424"/>
      <c r="AL273" s="424"/>
      <c r="AM273" s="424"/>
      <c r="AN273" s="424"/>
      <c r="AO273" s="425">
        <f t="shared" si="2"/>
        <v>0</v>
      </c>
      <c r="AP273" s="425"/>
      <c r="AQ273" s="425"/>
      <c r="AR273" s="426"/>
    </row>
    <row r="274" spans="1:44" ht="18" customHeight="1">
      <c r="C274" s="444"/>
      <c r="D274" s="445"/>
      <c r="E274" s="445"/>
      <c r="F274" s="446"/>
      <c r="G274" s="446"/>
      <c r="H274" s="446"/>
      <c r="I274" s="446"/>
      <c r="J274" s="446"/>
      <c r="K274" s="446"/>
      <c r="L274" s="446"/>
      <c r="M274" s="446"/>
      <c r="N274" s="446"/>
      <c r="O274" s="446"/>
      <c r="P274" s="446"/>
      <c r="Q274" s="446"/>
      <c r="R274" s="446"/>
      <c r="S274" s="447"/>
      <c r="T274" s="447"/>
      <c r="U274" s="447"/>
      <c r="V274" s="447"/>
      <c r="W274" s="447"/>
      <c r="X274" s="447"/>
      <c r="Y274" s="448"/>
      <c r="Z274" s="448"/>
      <c r="AA274" s="448"/>
      <c r="AB274" s="448"/>
      <c r="AC274" s="448"/>
      <c r="AD274" s="448"/>
      <c r="AE274" s="425"/>
      <c r="AF274" s="425"/>
      <c r="AG274" s="425"/>
      <c r="AH274" s="425"/>
      <c r="AI274" s="425"/>
      <c r="AJ274" s="425"/>
      <c r="AK274" s="424"/>
      <c r="AL274" s="424"/>
      <c r="AM274" s="424"/>
      <c r="AN274" s="424"/>
      <c r="AO274" s="425">
        <f t="shared" si="2"/>
        <v>0</v>
      </c>
      <c r="AP274" s="425"/>
      <c r="AQ274" s="425"/>
      <c r="AR274" s="426"/>
    </row>
    <row r="275" spans="1:44" ht="18" customHeight="1">
      <c r="C275" s="444"/>
      <c r="D275" s="445"/>
      <c r="E275" s="445"/>
      <c r="F275" s="446"/>
      <c r="G275" s="446"/>
      <c r="H275" s="446"/>
      <c r="I275" s="446"/>
      <c r="J275" s="446"/>
      <c r="K275" s="446"/>
      <c r="L275" s="446"/>
      <c r="M275" s="446"/>
      <c r="N275" s="446"/>
      <c r="O275" s="446"/>
      <c r="P275" s="446"/>
      <c r="Q275" s="446"/>
      <c r="R275" s="446"/>
      <c r="S275" s="447"/>
      <c r="T275" s="447"/>
      <c r="U275" s="447"/>
      <c r="V275" s="447"/>
      <c r="W275" s="447"/>
      <c r="X275" s="447"/>
      <c r="Y275" s="448"/>
      <c r="Z275" s="448"/>
      <c r="AA275" s="448"/>
      <c r="AB275" s="448"/>
      <c r="AC275" s="448"/>
      <c r="AD275" s="448"/>
      <c r="AE275" s="425"/>
      <c r="AF275" s="425"/>
      <c r="AG275" s="425"/>
      <c r="AH275" s="425"/>
      <c r="AI275" s="425"/>
      <c r="AJ275" s="425"/>
      <c r="AK275" s="424"/>
      <c r="AL275" s="424"/>
      <c r="AM275" s="424"/>
      <c r="AN275" s="424"/>
      <c r="AO275" s="425">
        <f t="shared" si="2"/>
        <v>0</v>
      </c>
      <c r="AP275" s="425"/>
      <c r="AQ275" s="425"/>
      <c r="AR275" s="426"/>
    </row>
    <row r="276" spans="1:44" ht="18" customHeight="1">
      <c r="C276" s="427"/>
      <c r="D276" s="428"/>
      <c r="E276" s="428"/>
      <c r="F276" s="428"/>
      <c r="G276" s="428"/>
      <c r="H276" s="428"/>
      <c r="I276" s="428"/>
      <c r="J276" s="428"/>
      <c r="K276" s="428"/>
      <c r="L276" s="428"/>
      <c r="M276" s="428"/>
      <c r="N276" s="428"/>
      <c r="O276" s="428"/>
      <c r="P276" s="428"/>
      <c r="Q276" s="428"/>
      <c r="R276" s="428"/>
      <c r="S276" s="428"/>
      <c r="T276" s="428"/>
      <c r="U276" s="428"/>
      <c r="V276" s="428"/>
      <c r="W276" s="428"/>
      <c r="X276" s="429"/>
      <c r="Y276" s="430" t="s">
        <v>95</v>
      </c>
      <c r="Z276" s="431"/>
      <c r="AA276" s="431"/>
      <c r="AB276" s="431"/>
      <c r="AC276" s="431"/>
      <c r="AD276" s="431"/>
      <c r="AE276" s="431"/>
      <c r="AF276" s="431"/>
      <c r="AG276" s="431"/>
      <c r="AH276" s="431"/>
      <c r="AI276" s="431"/>
      <c r="AJ276" s="431"/>
      <c r="AK276" s="431"/>
      <c r="AL276" s="431"/>
      <c r="AM276" s="431"/>
      <c r="AN276" s="431"/>
      <c r="AO276" s="432">
        <f>SUM(AO268:AR275)</f>
        <v>0</v>
      </c>
      <c r="AP276" s="432"/>
      <c r="AQ276" s="432"/>
      <c r="AR276" s="433"/>
    </row>
    <row r="278" spans="1:44" ht="18" customHeight="1">
      <c r="C278" s="434"/>
      <c r="D278" s="434"/>
      <c r="E278" s="434"/>
      <c r="F278" s="434"/>
      <c r="G278" s="434"/>
      <c r="H278" s="434"/>
      <c r="I278" s="434"/>
      <c r="J278" s="434"/>
      <c r="K278" s="434"/>
      <c r="L278" s="434"/>
      <c r="M278" s="434"/>
      <c r="N278" s="434"/>
      <c r="O278" s="434"/>
      <c r="P278" s="434"/>
      <c r="Q278" s="434"/>
      <c r="R278" s="434"/>
      <c r="S278" s="434"/>
      <c r="T278" s="434"/>
      <c r="U278" s="434"/>
      <c r="V278" s="434"/>
      <c r="W278" s="434"/>
      <c r="X278" s="434"/>
      <c r="Y278" s="435" t="s">
        <v>96</v>
      </c>
      <c r="Z278" s="436"/>
      <c r="AA278" s="436"/>
      <c r="AB278" s="436"/>
      <c r="AC278" s="436"/>
      <c r="AD278" s="436"/>
      <c r="AE278" s="436"/>
      <c r="AF278" s="436"/>
      <c r="AG278" s="436"/>
      <c r="AH278" s="436"/>
      <c r="AI278" s="436"/>
      <c r="AJ278" s="436"/>
      <c r="AK278" s="436"/>
      <c r="AL278" s="436"/>
      <c r="AM278" s="436"/>
      <c r="AN278" s="436"/>
      <c r="AO278" s="437">
        <f>AO252+AO264+AO276</f>
        <v>612.59</v>
      </c>
      <c r="AP278" s="437"/>
      <c r="AQ278" s="437"/>
      <c r="AR278" s="438"/>
    </row>
    <row r="279" spans="1:44" ht="18" customHeight="1">
      <c r="C279" s="434"/>
      <c r="D279" s="434"/>
      <c r="E279" s="434"/>
      <c r="F279" s="434"/>
      <c r="G279" s="434"/>
      <c r="H279" s="434"/>
      <c r="I279" s="434"/>
      <c r="J279" s="434"/>
      <c r="K279" s="434"/>
      <c r="L279" s="434"/>
      <c r="M279" s="434"/>
      <c r="N279" s="434"/>
      <c r="O279" s="434"/>
      <c r="P279" s="434"/>
      <c r="Q279" s="434"/>
      <c r="R279" s="434"/>
      <c r="S279" s="434"/>
      <c r="T279" s="434"/>
      <c r="U279" s="434"/>
      <c r="V279" s="434"/>
      <c r="W279" s="434"/>
      <c r="X279" s="434"/>
      <c r="Y279" s="439" t="s">
        <v>97</v>
      </c>
      <c r="Z279" s="440"/>
      <c r="AA279" s="440"/>
      <c r="AB279" s="440"/>
      <c r="AC279" s="440"/>
      <c r="AD279" s="440"/>
      <c r="AE279" s="440"/>
      <c r="AF279" s="440"/>
      <c r="AG279" s="441"/>
      <c r="AH279" s="442">
        <v>0.2031</v>
      </c>
      <c r="AI279" s="442"/>
      <c r="AJ279" s="442"/>
      <c r="AK279" s="442"/>
      <c r="AL279" s="442"/>
      <c r="AM279" s="442"/>
      <c r="AN279" s="443"/>
      <c r="AO279" s="413">
        <f>ROUND(AO278*AH279,2)</f>
        <v>124.42</v>
      </c>
      <c r="AP279" s="413"/>
      <c r="AQ279" s="413"/>
      <c r="AR279" s="414"/>
    </row>
    <row r="280" spans="1:44" ht="18" customHeight="1">
      <c r="A280" s="415" t="s">
        <v>108</v>
      </c>
      <c r="B280" s="415"/>
      <c r="C280" s="434"/>
      <c r="D280" s="434"/>
      <c r="E280" s="434"/>
      <c r="F280" s="434"/>
      <c r="G280" s="434"/>
      <c r="H280" s="434"/>
      <c r="I280" s="434"/>
      <c r="J280" s="434"/>
      <c r="K280" s="434"/>
      <c r="L280" s="434"/>
      <c r="M280" s="434"/>
      <c r="N280" s="434"/>
      <c r="O280" s="434"/>
      <c r="P280" s="434"/>
      <c r="Q280" s="434"/>
      <c r="R280" s="434"/>
      <c r="S280" s="434"/>
      <c r="T280" s="434"/>
      <c r="U280" s="434"/>
      <c r="V280" s="434"/>
      <c r="W280" s="434"/>
      <c r="X280" s="434"/>
      <c r="Y280" s="416" t="s">
        <v>98</v>
      </c>
      <c r="Z280" s="417"/>
      <c r="AA280" s="417"/>
      <c r="AB280" s="417"/>
      <c r="AC280" s="417"/>
      <c r="AD280" s="417"/>
      <c r="AE280" s="417"/>
      <c r="AF280" s="417"/>
      <c r="AG280" s="417"/>
      <c r="AH280" s="417"/>
      <c r="AI280" s="417"/>
      <c r="AJ280" s="417"/>
      <c r="AK280" s="417"/>
      <c r="AL280" s="417"/>
      <c r="AM280" s="417"/>
      <c r="AN280" s="417"/>
      <c r="AO280" s="418">
        <f>SUM(AO278:AR279)</f>
        <v>737.01</v>
      </c>
      <c r="AP280" s="418"/>
      <c r="AQ280" s="418"/>
      <c r="AR280" s="419"/>
    </row>
    <row r="282" spans="1:44" ht="18" customHeight="1">
      <c r="C282" s="420" t="s">
        <v>99</v>
      </c>
      <c r="D282" s="421"/>
      <c r="E282" s="421"/>
      <c r="F282" s="421"/>
      <c r="G282" s="421"/>
      <c r="H282" s="421"/>
      <c r="I282" s="422"/>
      <c r="J282" s="422"/>
      <c r="K282" s="422"/>
      <c r="L282" s="422"/>
      <c r="M282" s="422"/>
      <c r="N282" s="422"/>
      <c r="O282" s="422"/>
      <c r="P282" s="422"/>
      <c r="Q282" s="422"/>
      <c r="R282" s="422"/>
      <c r="S282" s="422"/>
      <c r="T282" s="422"/>
      <c r="U282" s="422"/>
      <c r="V282" s="422"/>
      <c r="W282" s="422"/>
      <c r="X282" s="422"/>
      <c r="Y282" s="422"/>
      <c r="Z282" s="422"/>
      <c r="AA282" s="422"/>
      <c r="AB282" s="422"/>
      <c r="AC282" s="422"/>
      <c r="AD282" s="422"/>
      <c r="AE282" s="422"/>
      <c r="AF282" s="422"/>
      <c r="AG282" s="422"/>
      <c r="AH282" s="422"/>
      <c r="AI282" s="422"/>
      <c r="AJ282" s="422"/>
      <c r="AK282" s="422"/>
      <c r="AL282" s="422"/>
      <c r="AM282" s="422"/>
      <c r="AN282" s="422"/>
      <c r="AO282" s="422"/>
      <c r="AP282" s="422"/>
      <c r="AQ282" s="422"/>
      <c r="AR282" s="423"/>
    </row>
    <row r="283" spans="1:44" ht="18" customHeight="1">
      <c r="C283" s="411"/>
      <c r="D283" s="412"/>
      <c r="E283" s="412"/>
      <c r="F283" s="412"/>
      <c r="G283" s="412"/>
      <c r="H283" s="412"/>
      <c r="I283" s="409"/>
      <c r="J283" s="409"/>
      <c r="K283" s="409"/>
      <c r="L283" s="409"/>
      <c r="M283" s="409"/>
      <c r="N283" s="409"/>
      <c r="O283" s="409"/>
      <c r="P283" s="409"/>
      <c r="Q283" s="409"/>
      <c r="R283" s="409"/>
      <c r="S283" s="409"/>
      <c r="T283" s="409"/>
      <c r="U283" s="409"/>
      <c r="V283" s="409"/>
      <c r="W283" s="409"/>
      <c r="X283" s="409"/>
      <c r="Y283" s="409"/>
      <c r="Z283" s="409"/>
      <c r="AA283" s="409"/>
      <c r="AB283" s="409"/>
      <c r="AC283" s="409"/>
      <c r="AD283" s="409"/>
      <c r="AE283" s="409"/>
      <c r="AF283" s="409"/>
      <c r="AG283" s="409"/>
      <c r="AH283" s="409"/>
      <c r="AI283" s="409"/>
      <c r="AJ283" s="409"/>
      <c r="AK283" s="409"/>
      <c r="AL283" s="409"/>
      <c r="AM283" s="409"/>
      <c r="AN283" s="409"/>
      <c r="AO283" s="409"/>
      <c r="AP283" s="409"/>
      <c r="AQ283" s="409"/>
      <c r="AR283" s="410"/>
    </row>
    <row r="284" spans="1:44" ht="18" customHeight="1">
      <c r="C284" s="411"/>
      <c r="D284" s="412"/>
      <c r="E284" s="412"/>
      <c r="F284" s="412"/>
      <c r="G284" s="412"/>
      <c r="H284" s="412"/>
      <c r="I284" s="409"/>
      <c r="J284" s="409"/>
      <c r="K284" s="409"/>
      <c r="L284" s="409"/>
      <c r="M284" s="409"/>
      <c r="N284" s="409"/>
      <c r="O284" s="409"/>
      <c r="P284" s="409"/>
      <c r="Q284" s="409"/>
      <c r="R284" s="409"/>
      <c r="S284" s="409"/>
      <c r="T284" s="409"/>
      <c r="U284" s="409"/>
      <c r="V284" s="409"/>
      <c r="W284" s="409"/>
      <c r="X284" s="409"/>
      <c r="Y284" s="409"/>
      <c r="Z284" s="409"/>
      <c r="AA284" s="409"/>
      <c r="AB284" s="409"/>
      <c r="AC284" s="409"/>
      <c r="AD284" s="409"/>
      <c r="AE284" s="409"/>
      <c r="AF284" s="409"/>
      <c r="AG284" s="409"/>
      <c r="AH284" s="409"/>
      <c r="AI284" s="409"/>
      <c r="AJ284" s="409"/>
      <c r="AK284" s="409"/>
      <c r="AL284" s="409"/>
      <c r="AM284" s="409"/>
      <c r="AN284" s="409"/>
      <c r="AO284" s="409"/>
      <c r="AP284" s="409"/>
      <c r="AQ284" s="409"/>
      <c r="AR284" s="410"/>
    </row>
    <row r="285" spans="1:44" ht="18" customHeight="1">
      <c r="C285" s="411"/>
      <c r="D285" s="412"/>
      <c r="E285" s="412"/>
      <c r="F285" s="412"/>
      <c r="G285" s="412"/>
      <c r="H285" s="412"/>
      <c r="I285" s="409"/>
      <c r="J285" s="409"/>
      <c r="K285" s="409"/>
      <c r="L285" s="409"/>
      <c r="M285" s="409"/>
      <c r="N285" s="409"/>
      <c r="O285" s="409"/>
      <c r="P285" s="409"/>
      <c r="Q285" s="409"/>
      <c r="R285" s="409"/>
      <c r="S285" s="409"/>
      <c r="T285" s="409"/>
      <c r="U285" s="409"/>
      <c r="V285" s="409"/>
      <c r="W285" s="409"/>
      <c r="X285" s="409"/>
      <c r="Y285" s="409"/>
      <c r="Z285" s="409"/>
      <c r="AA285" s="409"/>
      <c r="AB285" s="409"/>
      <c r="AC285" s="409"/>
      <c r="AD285" s="409"/>
      <c r="AE285" s="409"/>
      <c r="AF285" s="409"/>
      <c r="AG285" s="409"/>
      <c r="AH285" s="409"/>
      <c r="AI285" s="409"/>
      <c r="AJ285" s="409"/>
      <c r="AK285" s="409"/>
      <c r="AL285" s="409"/>
      <c r="AM285" s="409"/>
      <c r="AN285" s="409"/>
      <c r="AO285" s="409"/>
      <c r="AP285" s="409"/>
      <c r="AQ285" s="409"/>
      <c r="AR285" s="410"/>
    </row>
    <row r="286" spans="1:44" ht="18" customHeight="1">
      <c r="C286" s="411"/>
      <c r="D286" s="412"/>
      <c r="E286" s="412"/>
      <c r="F286" s="412"/>
      <c r="G286" s="412"/>
      <c r="H286" s="412"/>
      <c r="I286" s="409"/>
      <c r="J286" s="409"/>
      <c r="K286" s="409"/>
      <c r="L286" s="409"/>
      <c r="M286" s="409"/>
      <c r="N286" s="409"/>
      <c r="O286" s="409"/>
      <c r="P286" s="409"/>
      <c r="Q286" s="409"/>
      <c r="R286" s="409"/>
      <c r="S286" s="409"/>
      <c r="T286" s="409"/>
      <c r="U286" s="409"/>
      <c r="V286" s="409"/>
      <c r="W286" s="409"/>
      <c r="X286" s="409"/>
      <c r="Y286" s="409"/>
      <c r="Z286" s="409"/>
      <c r="AA286" s="409"/>
      <c r="AB286" s="409"/>
      <c r="AC286" s="409"/>
      <c r="AD286" s="409"/>
      <c r="AE286" s="409"/>
      <c r="AF286" s="409"/>
      <c r="AG286" s="409"/>
      <c r="AH286" s="409"/>
      <c r="AI286" s="409"/>
      <c r="AJ286" s="409"/>
      <c r="AK286" s="409"/>
      <c r="AL286" s="409"/>
      <c r="AM286" s="409"/>
      <c r="AN286" s="409"/>
      <c r="AO286" s="409"/>
      <c r="AP286" s="409"/>
      <c r="AQ286" s="409"/>
      <c r="AR286" s="410"/>
    </row>
    <row r="287" spans="1:44" ht="18" customHeight="1">
      <c r="C287" s="385"/>
      <c r="D287" s="386"/>
      <c r="E287" s="386"/>
      <c r="F287" s="386"/>
      <c r="G287" s="386"/>
      <c r="H287" s="386"/>
      <c r="I287" s="387"/>
      <c r="J287" s="387"/>
      <c r="K287" s="387"/>
      <c r="L287" s="387"/>
      <c r="M287" s="387"/>
      <c r="N287" s="387"/>
      <c r="O287" s="387"/>
      <c r="P287" s="387"/>
      <c r="Q287" s="387"/>
      <c r="R287" s="387"/>
      <c r="S287" s="387"/>
      <c r="T287" s="387"/>
      <c r="U287" s="387"/>
      <c r="V287" s="387"/>
      <c r="W287" s="387"/>
      <c r="X287" s="387"/>
      <c r="Y287" s="387"/>
      <c r="Z287" s="387"/>
      <c r="AA287" s="387"/>
      <c r="AB287" s="387"/>
      <c r="AC287" s="387"/>
      <c r="AD287" s="387"/>
      <c r="AE287" s="387"/>
      <c r="AF287" s="387"/>
      <c r="AG287" s="387"/>
      <c r="AH287" s="387"/>
      <c r="AI287" s="387"/>
      <c r="AJ287" s="387"/>
      <c r="AK287" s="387"/>
      <c r="AL287" s="387"/>
      <c r="AM287" s="387"/>
      <c r="AN287" s="387"/>
      <c r="AO287" s="387"/>
      <c r="AP287" s="387"/>
      <c r="AQ287" s="387"/>
      <c r="AR287" s="388"/>
    </row>
    <row r="289" spans="3:44" ht="18" customHeight="1">
      <c r="C289" s="389" t="s">
        <v>100</v>
      </c>
      <c r="D289" s="390"/>
      <c r="E289" s="390"/>
      <c r="F289" s="390"/>
      <c r="G289" s="390"/>
      <c r="H289" s="390"/>
      <c r="I289" s="390"/>
      <c r="J289" s="390"/>
      <c r="K289" s="390"/>
      <c r="L289" s="390"/>
      <c r="M289" s="390"/>
      <c r="N289" s="390"/>
      <c r="O289" s="390"/>
      <c r="P289" s="390"/>
      <c r="Q289" s="390"/>
      <c r="R289" s="390"/>
      <c r="S289" s="390"/>
      <c r="T289" s="390"/>
      <c r="U289" s="390"/>
      <c r="V289" s="390"/>
      <c r="W289" s="390"/>
      <c r="X289" s="390"/>
      <c r="Y289" s="390"/>
      <c r="Z289" s="390"/>
      <c r="AA289" s="391"/>
      <c r="AB289" s="392" t="str">
        <f>[4]C.UNIT.SERV.!$E$5</f>
        <v>DATA-BASE:      MAIO/2011/PR</v>
      </c>
      <c r="AC289" s="393"/>
      <c r="AD289" s="393"/>
      <c r="AE289" s="393"/>
      <c r="AF289" s="393"/>
      <c r="AG289" s="393"/>
      <c r="AH289" s="393"/>
      <c r="AI289" s="394"/>
      <c r="AJ289" s="392"/>
      <c r="AK289" s="393"/>
      <c r="AL289" s="393"/>
      <c r="AM289" s="393"/>
      <c r="AN289" s="393"/>
      <c r="AO289" s="393"/>
      <c r="AP289" s="393"/>
      <c r="AQ289" s="393"/>
      <c r="AR289" s="401"/>
    </row>
    <row r="290" spans="3:44" ht="18" customHeight="1">
      <c r="C290" s="404" t="s">
        <v>101</v>
      </c>
      <c r="D290" s="405"/>
      <c r="E290" s="405"/>
      <c r="F290" s="405"/>
      <c r="G290" s="405" t="s">
        <v>283</v>
      </c>
      <c r="H290" s="405"/>
      <c r="I290" s="405"/>
      <c r="J290" s="405"/>
      <c r="K290" s="405"/>
      <c r="L290" s="405"/>
      <c r="M290" s="405"/>
      <c r="N290" s="405"/>
      <c r="O290" s="405"/>
      <c r="P290" s="405"/>
      <c r="Q290" s="405"/>
      <c r="R290" s="405"/>
      <c r="S290" s="405"/>
      <c r="T290" s="405"/>
      <c r="U290" s="405"/>
      <c r="V290" s="405"/>
      <c r="W290" s="405"/>
      <c r="X290" s="405"/>
      <c r="Y290" s="405"/>
      <c r="Z290" s="405"/>
      <c r="AA290" s="406"/>
      <c r="AB290" s="395"/>
      <c r="AC290" s="396"/>
      <c r="AD290" s="396"/>
      <c r="AE290" s="396"/>
      <c r="AF290" s="396"/>
      <c r="AG290" s="396"/>
      <c r="AH290" s="396"/>
      <c r="AI290" s="397"/>
      <c r="AJ290" s="395"/>
      <c r="AK290" s="396"/>
      <c r="AL290" s="396"/>
      <c r="AM290" s="396"/>
      <c r="AN290" s="396"/>
      <c r="AO290" s="396"/>
      <c r="AP290" s="396"/>
      <c r="AQ290" s="396"/>
      <c r="AR290" s="402"/>
    </row>
    <row r="291" spans="3:44" ht="18" customHeight="1">
      <c r="C291" s="404" t="s">
        <v>102</v>
      </c>
      <c r="D291" s="405"/>
      <c r="E291" s="405"/>
      <c r="F291" s="405"/>
      <c r="G291" s="405"/>
      <c r="H291" s="405"/>
      <c r="I291" s="405"/>
      <c r="J291" s="405"/>
      <c r="K291" s="405"/>
      <c r="L291" s="405"/>
      <c r="M291" s="405"/>
      <c r="N291" s="405"/>
      <c r="O291" s="405"/>
      <c r="P291" s="405"/>
      <c r="Q291" s="405"/>
      <c r="R291" s="405"/>
      <c r="S291" s="405"/>
      <c r="T291" s="405"/>
      <c r="U291" s="405"/>
      <c r="V291" s="405"/>
      <c r="W291" s="405"/>
      <c r="X291" s="405"/>
      <c r="Y291" s="405"/>
      <c r="Z291" s="405"/>
      <c r="AA291" s="406"/>
      <c r="AB291" s="395"/>
      <c r="AC291" s="396"/>
      <c r="AD291" s="396"/>
      <c r="AE291" s="396"/>
      <c r="AF291" s="396"/>
      <c r="AG291" s="396"/>
      <c r="AH291" s="396"/>
      <c r="AI291" s="397"/>
      <c r="AJ291" s="395"/>
      <c r="AK291" s="396"/>
      <c r="AL291" s="396"/>
      <c r="AM291" s="396"/>
      <c r="AN291" s="396"/>
      <c r="AO291" s="396"/>
      <c r="AP291" s="396"/>
      <c r="AQ291" s="396"/>
      <c r="AR291" s="402"/>
    </row>
    <row r="292" spans="3:44" ht="18" customHeight="1">
      <c r="C292" s="407"/>
      <c r="D292" s="408"/>
      <c r="E292" s="408"/>
      <c r="F292" s="408"/>
      <c r="G292" s="408"/>
      <c r="H292" s="408"/>
      <c r="I292" s="408"/>
      <c r="J292" s="408"/>
      <c r="K292" s="408"/>
      <c r="L292" s="408"/>
      <c r="M292" s="408"/>
      <c r="N292" s="408"/>
      <c r="O292" s="408"/>
      <c r="P292" s="408"/>
      <c r="Q292" s="408"/>
      <c r="R292" s="408"/>
      <c r="S292" s="408"/>
      <c r="T292" s="408"/>
      <c r="U292" s="408"/>
      <c r="V292" s="408"/>
      <c r="W292" s="408"/>
      <c r="X292" s="408"/>
      <c r="Y292" s="408"/>
      <c r="Z292" s="408"/>
      <c r="AA292" s="408"/>
      <c r="AB292" s="398"/>
      <c r="AC292" s="399"/>
      <c r="AD292" s="399"/>
      <c r="AE292" s="399"/>
      <c r="AF292" s="399"/>
      <c r="AG292" s="399"/>
      <c r="AH292" s="399"/>
      <c r="AI292" s="400"/>
      <c r="AJ292" s="398"/>
      <c r="AK292" s="399"/>
      <c r="AL292" s="399"/>
      <c r="AM292" s="399"/>
      <c r="AN292" s="399"/>
      <c r="AO292" s="399"/>
      <c r="AP292" s="399"/>
      <c r="AQ292" s="399"/>
      <c r="AR292" s="403"/>
    </row>
    <row r="294" spans="3:44" ht="18" customHeight="1">
      <c r="C294" s="496" t="s">
        <v>64</v>
      </c>
      <c r="D294" s="497"/>
      <c r="E294" s="497"/>
      <c r="F294" s="497"/>
      <c r="G294" s="497"/>
      <c r="H294" s="497"/>
      <c r="I294" s="497"/>
      <c r="J294" s="497"/>
      <c r="K294" s="497"/>
      <c r="L294" s="497"/>
      <c r="M294" s="497"/>
      <c r="N294" s="497"/>
      <c r="O294" s="497"/>
      <c r="P294" s="497"/>
      <c r="Q294" s="497"/>
      <c r="R294" s="497"/>
      <c r="S294" s="497"/>
      <c r="T294" s="497"/>
      <c r="U294" s="497"/>
      <c r="V294" s="497"/>
      <c r="W294" s="497"/>
      <c r="X294" s="497"/>
      <c r="Y294" s="497"/>
      <c r="Z294" s="497"/>
      <c r="AA294" s="497"/>
      <c r="AB294" s="497"/>
      <c r="AC294" s="497"/>
      <c r="AD294" s="497"/>
      <c r="AE294" s="497"/>
      <c r="AF294" s="497"/>
      <c r="AG294" s="497"/>
      <c r="AH294" s="497"/>
      <c r="AI294" s="497"/>
      <c r="AJ294" s="497"/>
      <c r="AK294" s="497"/>
      <c r="AL294" s="497"/>
      <c r="AM294" s="497"/>
      <c r="AN294" s="497"/>
      <c r="AO294" s="497"/>
      <c r="AP294" s="497"/>
      <c r="AQ294" s="497"/>
      <c r="AR294" s="498"/>
    </row>
    <row r="295" spans="3:44" ht="18" customHeight="1">
      <c r="C295" s="499"/>
      <c r="D295" s="500"/>
      <c r="E295" s="500"/>
      <c r="F295" s="500"/>
      <c r="G295" s="500"/>
      <c r="H295" s="500"/>
      <c r="I295" s="500"/>
      <c r="J295" s="500"/>
      <c r="K295" s="500"/>
      <c r="L295" s="500"/>
      <c r="M295" s="500"/>
      <c r="N295" s="500"/>
      <c r="O295" s="500"/>
      <c r="P295" s="500"/>
      <c r="Q295" s="500"/>
      <c r="R295" s="500"/>
      <c r="S295" s="500"/>
      <c r="T295" s="500"/>
      <c r="U295" s="500"/>
      <c r="V295" s="500"/>
      <c r="W295" s="500"/>
      <c r="X295" s="500"/>
      <c r="Y295" s="500"/>
      <c r="Z295" s="500"/>
      <c r="AA295" s="500"/>
      <c r="AB295" s="500"/>
      <c r="AC295" s="500"/>
      <c r="AD295" s="500"/>
      <c r="AE295" s="500"/>
      <c r="AF295" s="500"/>
      <c r="AG295" s="500"/>
      <c r="AH295" s="500"/>
      <c r="AI295" s="500"/>
      <c r="AJ295" s="500"/>
      <c r="AK295" s="500"/>
      <c r="AL295" s="500"/>
      <c r="AM295" s="500"/>
      <c r="AN295" s="500"/>
      <c r="AO295" s="500"/>
      <c r="AP295" s="500"/>
      <c r="AQ295" s="500"/>
      <c r="AR295" s="501"/>
    </row>
    <row r="296" spans="3:44" ht="18" customHeight="1">
      <c r="C296" s="502" t="s">
        <v>65</v>
      </c>
      <c r="D296" s="503"/>
      <c r="E296" s="503"/>
      <c r="F296" s="504"/>
      <c r="G296" s="508" t="s">
        <v>931</v>
      </c>
      <c r="H296" s="509"/>
      <c r="I296" s="509"/>
      <c r="J296" s="509"/>
      <c r="K296" s="512" t="s">
        <v>66</v>
      </c>
      <c r="L296" s="512"/>
      <c r="M296" s="512"/>
      <c r="N296" s="513"/>
      <c r="O296" s="526" t="s">
        <v>948</v>
      </c>
      <c r="P296" s="526"/>
      <c r="Q296" s="526"/>
      <c r="R296" s="526"/>
      <c r="S296" s="526"/>
      <c r="T296" s="526"/>
      <c r="U296" s="526"/>
      <c r="V296" s="526"/>
      <c r="W296" s="526"/>
      <c r="X296" s="526"/>
      <c r="Y296" s="526"/>
      <c r="Z296" s="526"/>
      <c r="AA296" s="526"/>
      <c r="AB296" s="526"/>
      <c r="AC296" s="526"/>
      <c r="AD296" s="526"/>
      <c r="AE296" s="526"/>
      <c r="AF296" s="526"/>
      <c r="AG296" s="526"/>
      <c r="AH296" s="526"/>
      <c r="AI296" s="526"/>
      <c r="AJ296" s="526"/>
      <c r="AK296" s="527"/>
      <c r="AL296" s="512" t="s">
        <v>67</v>
      </c>
      <c r="AM296" s="512"/>
      <c r="AN296" s="512"/>
      <c r="AO296" s="513"/>
      <c r="AP296" s="516" t="s">
        <v>194</v>
      </c>
      <c r="AQ296" s="517"/>
      <c r="AR296" s="518"/>
    </row>
    <row r="297" spans="3:44" ht="18" customHeight="1">
      <c r="C297" s="505"/>
      <c r="D297" s="506"/>
      <c r="E297" s="506"/>
      <c r="F297" s="507"/>
      <c r="G297" s="510"/>
      <c r="H297" s="511"/>
      <c r="I297" s="511"/>
      <c r="J297" s="511"/>
      <c r="K297" s="514"/>
      <c r="L297" s="514"/>
      <c r="M297" s="514"/>
      <c r="N297" s="515"/>
      <c r="O297" s="528"/>
      <c r="P297" s="528"/>
      <c r="Q297" s="528"/>
      <c r="R297" s="528"/>
      <c r="S297" s="528"/>
      <c r="T297" s="528"/>
      <c r="U297" s="528"/>
      <c r="V297" s="528"/>
      <c r="W297" s="528"/>
      <c r="X297" s="528"/>
      <c r="Y297" s="528"/>
      <c r="Z297" s="528"/>
      <c r="AA297" s="528"/>
      <c r="AB297" s="528"/>
      <c r="AC297" s="528"/>
      <c r="AD297" s="528"/>
      <c r="AE297" s="528"/>
      <c r="AF297" s="528"/>
      <c r="AG297" s="528"/>
      <c r="AH297" s="528"/>
      <c r="AI297" s="528"/>
      <c r="AJ297" s="528"/>
      <c r="AK297" s="529"/>
      <c r="AL297" s="514"/>
      <c r="AM297" s="514"/>
      <c r="AN297" s="514"/>
      <c r="AO297" s="515"/>
      <c r="AP297" s="519"/>
      <c r="AQ297" s="520"/>
      <c r="AR297" s="521"/>
    </row>
    <row r="299" spans="3:44" ht="18" customHeight="1">
      <c r="C299" s="461" t="s">
        <v>43</v>
      </c>
      <c r="D299" s="451"/>
      <c r="E299" s="451"/>
      <c r="F299" s="451" t="s">
        <v>68</v>
      </c>
      <c r="G299" s="451"/>
      <c r="H299" s="451"/>
      <c r="I299" s="451"/>
      <c r="J299" s="451"/>
      <c r="K299" s="451"/>
      <c r="L299" s="451"/>
      <c r="M299" s="451"/>
      <c r="N299" s="451"/>
      <c r="O299" s="451"/>
      <c r="P299" s="451"/>
      <c r="Q299" s="451"/>
      <c r="R299" s="451"/>
      <c r="S299" s="451"/>
      <c r="T299" s="451"/>
      <c r="U299" s="451"/>
      <c r="V299" s="451" t="s">
        <v>249</v>
      </c>
      <c r="W299" s="451"/>
      <c r="X299" s="451"/>
      <c r="Y299" s="451" t="s">
        <v>69</v>
      </c>
      <c r="Z299" s="451"/>
      <c r="AA299" s="451"/>
      <c r="AB299" s="451"/>
      <c r="AC299" s="451"/>
      <c r="AD299" s="451"/>
      <c r="AE299" s="451"/>
      <c r="AF299" s="451"/>
      <c r="AG299" s="451" t="s">
        <v>70</v>
      </c>
      <c r="AH299" s="451"/>
      <c r="AI299" s="451"/>
      <c r="AJ299" s="451"/>
      <c r="AK299" s="451"/>
      <c r="AL299" s="451"/>
      <c r="AM299" s="451"/>
      <c r="AN299" s="451"/>
      <c r="AO299" s="451" t="s">
        <v>71</v>
      </c>
      <c r="AP299" s="451"/>
      <c r="AQ299" s="451"/>
      <c r="AR299" s="453"/>
    </row>
    <row r="300" spans="3:44" ht="18" customHeight="1">
      <c r="C300" s="462"/>
      <c r="D300" s="452"/>
      <c r="E300" s="452"/>
      <c r="F300" s="452"/>
      <c r="G300" s="452"/>
      <c r="H300" s="452"/>
      <c r="I300" s="452"/>
      <c r="J300" s="452"/>
      <c r="K300" s="452"/>
      <c r="L300" s="452"/>
      <c r="M300" s="452"/>
      <c r="N300" s="452"/>
      <c r="O300" s="452"/>
      <c r="P300" s="452"/>
      <c r="Q300" s="452"/>
      <c r="R300" s="452"/>
      <c r="S300" s="452"/>
      <c r="T300" s="452"/>
      <c r="U300" s="452"/>
      <c r="V300" s="452"/>
      <c r="W300" s="452"/>
      <c r="X300" s="452"/>
      <c r="Y300" s="452" t="s">
        <v>72</v>
      </c>
      <c r="Z300" s="452"/>
      <c r="AA300" s="452"/>
      <c r="AB300" s="452"/>
      <c r="AC300" s="452" t="s">
        <v>73</v>
      </c>
      <c r="AD300" s="452"/>
      <c r="AE300" s="452"/>
      <c r="AF300" s="452"/>
      <c r="AG300" s="452" t="s">
        <v>72</v>
      </c>
      <c r="AH300" s="452"/>
      <c r="AI300" s="452"/>
      <c r="AJ300" s="452"/>
      <c r="AK300" s="452" t="s">
        <v>73</v>
      </c>
      <c r="AL300" s="452"/>
      <c r="AM300" s="452"/>
      <c r="AN300" s="452"/>
      <c r="AO300" s="452"/>
      <c r="AP300" s="452"/>
      <c r="AQ300" s="452"/>
      <c r="AR300" s="454"/>
    </row>
    <row r="301" spans="3:44" ht="18" customHeight="1">
      <c r="C301" s="455"/>
      <c r="D301" s="456"/>
      <c r="E301" s="456"/>
      <c r="F301" s="493"/>
      <c r="G301" s="493"/>
      <c r="H301" s="493"/>
      <c r="I301" s="493"/>
      <c r="J301" s="493"/>
      <c r="K301" s="493"/>
      <c r="L301" s="493"/>
      <c r="M301" s="493"/>
      <c r="N301" s="493"/>
      <c r="O301" s="493"/>
      <c r="P301" s="493"/>
      <c r="Q301" s="493"/>
      <c r="R301" s="493"/>
      <c r="S301" s="493"/>
      <c r="T301" s="493"/>
      <c r="U301" s="493"/>
      <c r="V301" s="491"/>
      <c r="W301" s="491"/>
      <c r="X301" s="491"/>
      <c r="Y301" s="491"/>
      <c r="Z301" s="491"/>
      <c r="AA301" s="491"/>
      <c r="AB301" s="491"/>
      <c r="AC301" s="494"/>
      <c r="AD301" s="494"/>
      <c r="AE301" s="494"/>
      <c r="AF301" s="494"/>
      <c r="AG301" s="491"/>
      <c r="AH301" s="491"/>
      <c r="AI301" s="491"/>
      <c r="AJ301" s="491"/>
      <c r="AK301" s="491"/>
      <c r="AL301" s="491"/>
      <c r="AM301" s="491"/>
      <c r="AN301" s="491"/>
      <c r="AO301" s="491"/>
      <c r="AP301" s="491"/>
      <c r="AQ301" s="491"/>
      <c r="AR301" s="492"/>
    </row>
    <row r="302" spans="3:44" ht="18" customHeight="1">
      <c r="C302" s="444"/>
      <c r="D302" s="445"/>
      <c r="E302" s="445"/>
      <c r="F302" s="493"/>
      <c r="G302" s="493"/>
      <c r="H302" s="493"/>
      <c r="I302" s="493"/>
      <c r="J302" s="493"/>
      <c r="K302" s="493"/>
      <c r="L302" s="493"/>
      <c r="M302" s="493"/>
      <c r="N302" s="493"/>
      <c r="O302" s="493"/>
      <c r="P302" s="493"/>
      <c r="Q302" s="493"/>
      <c r="R302" s="493"/>
      <c r="S302" s="493"/>
      <c r="T302" s="493"/>
      <c r="U302" s="493"/>
      <c r="V302" s="491"/>
      <c r="W302" s="491"/>
      <c r="X302" s="491"/>
      <c r="Y302" s="491"/>
      <c r="Z302" s="491"/>
      <c r="AA302" s="491"/>
      <c r="AB302" s="491"/>
      <c r="AC302" s="494"/>
      <c r="AD302" s="494"/>
      <c r="AE302" s="494"/>
      <c r="AF302" s="494"/>
      <c r="AG302" s="491"/>
      <c r="AH302" s="491"/>
      <c r="AI302" s="491"/>
      <c r="AJ302" s="491"/>
      <c r="AK302" s="491"/>
      <c r="AL302" s="491"/>
      <c r="AM302" s="491"/>
      <c r="AN302" s="491"/>
      <c r="AO302" s="491"/>
      <c r="AP302" s="491"/>
      <c r="AQ302" s="491"/>
      <c r="AR302" s="492"/>
    </row>
    <row r="303" spans="3:44" ht="18" customHeight="1">
      <c r="C303" s="444"/>
      <c r="D303" s="445"/>
      <c r="E303" s="445"/>
      <c r="F303" s="463"/>
      <c r="G303" s="463"/>
      <c r="H303" s="463"/>
      <c r="I303" s="463"/>
      <c r="J303" s="463"/>
      <c r="K303" s="463"/>
      <c r="L303" s="463"/>
      <c r="M303" s="463"/>
      <c r="N303" s="463"/>
      <c r="O303" s="463"/>
      <c r="P303" s="463"/>
      <c r="Q303" s="463"/>
      <c r="R303" s="463"/>
      <c r="S303" s="463"/>
      <c r="T303" s="463"/>
      <c r="U303" s="463"/>
      <c r="V303" s="465"/>
      <c r="W303" s="465"/>
      <c r="X303" s="465"/>
      <c r="Y303" s="465"/>
      <c r="Z303" s="465"/>
      <c r="AA303" s="465"/>
      <c r="AB303" s="465"/>
      <c r="AC303" s="490"/>
      <c r="AD303" s="490"/>
      <c r="AE303" s="490"/>
      <c r="AF303" s="490"/>
      <c r="AG303" s="465"/>
      <c r="AH303" s="465"/>
      <c r="AI303" s="465"/>
      <c r="AJ303" s="465"/>
      <c r="AK303" s="465"/>
      <c r="AL303" s="465"/>
      <c r="AM303" s="465"/>
      <c r="AN303" s="465"/>
      <c r="AO303" s="465"/>
      <c r="AP303" s="465"/>
      <c r="AQ303" s="465"/>
      <c r="AR303" s="489"/>
    </row>
    <row r="304" spans="3:44" ht="18" customHeight="1">
      <c r="C304" s="444"/>
      <c r="D304" s="445"/>
      <c r="E304" s="445"/>
      <c r="F304" s="463"/>
      <c r="G304" s="463"/>
      <c r="H304" s="463"/>
      <c r="I304" s="463"/>
      <c r="J304" s="463"/>
      <c r="K304" s="463"/>
      <c r="L304" s="463"/>
      <c r="M304" s="463"/>
      <c r="N304" s="463"/>
      <c r="O304" s="463"/>
      <c r="P304" s="463"/>
      <c r="Q304" s="463"/>
      <c r="R304" s="463"/>
      <c r="S304" s="463"/>
      <c r="T304" s="463"/>
      <c r="U304" s="463"/>
      <c r="V304" s="465"/>
      <c r="W304" s="465"/>
      <c r="X304" s="465"/>
      <c r="Y304" s="465"/>
      <c r="Z304" s="465"/>
      <c r="AA304" s="465"/>
      <c r="AB304" s="465"/>
      <c r="AC304" s="490"/>
      <c r="AD304" s="490"/>
      <c r="AE304" s="490"/>
      <c r="AF304" s="490"/>
      <c r="AG304" s="465"/>
      <c r="AH304" s="465"/>
      <c r="AI304" s="465"/>
      <c r="AJ304" s="465"/>
      <c r="AK304" s="465"/>
      <c r="AL304" s="465"/>
      <c r="AM304" s="465"/>
      <c r="AN304" s="465"/>
      <c r="AO304" s="465"/>
      <c r="AP304" s="465"/>
      <c r="AQ304" s="465"/>
      <c r="AR304" s="489"/>
    </row>
    <row r="305" spans="3:44" ht="18" customHeight="1">
      <c r="C305" s="444"/>
      <c r="D305" s="445"/>
      <c r="E305" s="445"/>
      <c r="F305" s="463"/>
      <c r="G305" s="463"/>
      <c r="H305" s="463"/>
      <c r="I305" s="463"/>
      <c r="J305" s="463"/>
      <c r="K305" s="463"/>
      <c r="L305" s="463"/>
      <c r="M305" s="463"/>
      <c r="N305" s="463"/>
      <c r="O305" s="463"/>
      <c r="P305" s="463"/>
      <c r="Q305" s="463"/>
      <c r="R305" s="463"/>
      <c r="S305" s="463"/>
      <c r="T305" s="463"/>
      <c r="U305" s="463"/>
      <c r="V305" s="465"/>
      <c r="W305" s="465"/>
      <c r="X305" s="465"/>
      <c r="Y305" s="465"/>
      <c r="Z305" s="465"/>
      <c r="AA305" s="465"/>
      <c r="AB305" s="465"/>
      <c r="AC305" s="490"/>
      <c r="AD305" s="490"/>
      <c r="AE305" s="490"/>
      <c r="AF305" s="490"/>
      <c r="AG305" s="465"/>
      <c r="AH305" s="465"/>
      <c r="AI305" s="465"/>
      <c r="AJ305" s="465"/>
      <c r="AK305" s="465"/>
      <c r="AL305" s="465"/>
      <c r="AM305" s="465"/>
      <c r="AN305" s="465"/>
      <c r="AO305" s="465"/>
      <c r="AP305" s="465"/>
      <c r="AQ305" s="465"/>
      <c r="AR305" s="489"/>
    </row>
    <row r="306" spans="3:44" ht="18" customHeight="1">
      <c r="C306" s="444"/>
      <c r="D306" s="445"/>
      <c r="E306" s="445"/>
      <c r="F306" s="463"/>
      <c r="G306" s="463"/>
      <c r="H306" s="463"/>
      <c r="I306" s="463"/>
      <c r="J306" s="463"/>
      <c r="K306" s="463"/>
      <c r="L306" s="463"/>
      <c r="M306" s="463"/>
      <c r="N306" s="463"/>
      <c r="O306" s="463"/>
      <c r="P306" s="463"/>
      <c r="Q306" s="463"/>
      <c r="R306" s="463"/>
      <c r="S306" s="463"/>
      <c r="T306" s="463"/>
      <c r="U306" s="463"/>
      <c r="V306" s="465"/>
      <c r="W306" s="465"/>
      <c r="X306" s="465"/>
      <c r="Y306" s="465"/>
      <c r="Z306" s="465"/>
      <c r="AA306" s="465"/>
      <c r="AB306" s="465"/>
      <c r="AC306" s="490"/>
      <c r="AD306" s="490"/>
      <c r="AE306" s="490"/>
      <c r="AF306" s="490"/>
      <c r="AG306" s="465"/>
      <c r="AH306" s="465"/>
      <c r="AI306" s="465"/>
      <c r="AJ306" s="465"/>
      <c r="AK306" s="465"/>
      <c r="AL306" s="465"/>
      <c r="AM306" s="465"/>
      <c r="AN306" s="465"/>
      <c r="AO306" s="465"/>
      <c r="AP306" s="465"/>
      <c r="AQ306" s="465"/>
      <c r="AR306" s="489"/>
    </row>
    <row r="307" spans="3:44" ht="18" customHeight="1">
      <c r="C307" s="444"/>
      <c r="D307" s="445"/>
      <c r="E307" s="445"/>
      <c r="F307" s="463"/>
      <c r="G307" s="463"/>
      <c r="H307" s="463"/>
      <c r="I307" s="463"/>
      <c r="J307" s="463"/>
      <c r="K307" s="463"/>
      <c r="L307" s="463"/>
      <c r="M307" s="463"/>
      <c r="N307" s="463"/>
      <c r="O307" s="463"/>
      <c r="P307" s="463"/>
      <c r="Q307" s="463"/>
      <c r="R307" s="463"/>
      <c r="S307" s="463"/>
      <c r="T307" s="463"/>
      <c r="U307" s="463"/>
      <c r="V307" s="465"/>
      <c r="W307" s="465"/>
      <c r="X307" s="465"/>
      <c r="Y307" s="465"/>
      <c r="Z307" s="465"/>
      <c r="AA307" s="465"/>
      <c r="AB307" s="465"/>
      <c r="AC307" s="490"/>
      <c r="AD307" s="490"/>
      <c r="AE307" s="490"/>
      <c r="AF307" s="490"/>
      <c r="AG307" s="465"/>
      <c r="AH307" s="465"/>
      <c r="AI307" s="465"/>
      <c r="AJ307" s="465"/>
      <c r="AK307" s="465"/>
      <c r="AL307" s="465"/>
      <c r="AM307" s="465"/>
      <c r="AN307" s="465"/>
      <c r="AO307" s="465"/>
      <c r="AP307" s="465"/>
      <c r="AQ307" s="465"/>
      <c r="AR307" s="489"/>
    </row>
    <row r="308" spans="3:44" ht="18" customHeight="1">
      <c r="C308" s="444"/>
      <c r="D308" s="445"/>
      <c r="E308" s="445"/>
      <c r="F308" s="463"/>
      <c r="G308" s="463"/>
      <c r="H308" s="463"/>
      <c r="I308" s="463"/>
      <c r="J308" s="463"/>
      <c r="K308" s="463"/>
      <c r="L308" s="463"/>
      <c r="M308" s="463"/>
      <c r="N308" s="463"/>
      <c r="O308" s="463"/>
      <c r="P308" s="463"/>
      <c r="Q308" s="463"/>
      <c r="R308" s="463"/>
      <c r="S308" s="463"/>
      <c r="T308" s="463"/>
      <c r="U308" s="463"/>
      <c r="V308" s="465"/>
      <c r="W308" s="465"/>
      <c r="X308" s="465"/>
      <c r="Y308" s="465"/>
      <c r="Z308" s="465"/>
      <c r="AA308" s="465"/>
      <c r="AB308" s="465"/>
      <c r="AC308" s="490"/>
      <c r="AD308" s="490"/>
      <c r="AE308" s="490"/>
      <c r="AF308" s="490"/>
      <c r="AG308" s="465"/>
      <c r="AH308" s="465"/>
      <c r="AI308" s="465"/>
      <c r="AJ308" s="465"/>
      <c r="AK308" s="465"/>
      <c r="AL308" s="465"/>
      <c r="AM308" s="465"/>
      <c r="AN308" s="465"/>
      <c r="AO308" s="465"/>
      <c r="AP308" s="465"/>
      <c r="AQ308" s="465"/>
      <c r="AR308" s="489"/>
    </row>
    <row r="309" spans="3:44" ht="18" customHeight="1">
      <c r="C309" s="427"/>
      <c r="D309" s="428"/>
      <c r="E309" s="428"/>
      <c r="F309" s="428"/>
      <c r="G309" s="428"/>
      <c r="H309" s="428"/>
      <c r="I309" s="428"/>
      <c r="J309" s="428"/>
      <c r="K309" s="428"/>
      <c r="L309" s="428"/>
      <c r="M309" s="428"/>
      <c r="N309" s="428"/>
      <c r="O309" s="428"/>
      <c r="P309" s="428"/>
      <c r="Q309" s="428"/>
      <c r="R309" s="428"/>
      <c r="S309" s="428"/>
      <c r="T309" s="428"/>
      <c r="U309" s="428"/>
      <c r="V309" s="428"/>
      <c r="W309" s="428"/>
      <c r="X309" s="428"/>
      <c r="Y309" s="495" t="s">
        <v>74</v>
      </c>
      <c r="Z309" s="495"/>
      <c r="AA309" s="495"/>
      <c r="AB309" s="495"/>
      <c r="AC309" s="495"/>
      <c r="AD309" s="495"/>
      <c r="AE309" s="495"/>
      <c r="AF309" s="495"/>
      <c r="AG309" s="495"/>
      <c r="AH309" s="495"/>
      <c r="AI309" s="495"/>
      <c r="AJ309" s="495"/>
      <c r="AK309" s="495"/>
      <c r="AL309" s="495"/>
      <c r="AM309" s="495"/>
      <c r="AN309" s="495"/>
      <c r="AO309" s="432">
        <f>SUM(AO301:AR308)</f>
        <v>0</v>
      </c>
      <c r="AP309" s="432"/>
      <c r="AQ309" s="432"/>
      <c r="AR309" s="433"/>
    </row>
    <row r="311" spans="3:44" ht="18" customHeight="1">
      <c r="C311" s="461" t="s">
        <v>43</v>
      </c>
      <c r="D311" s="451"/>
      <c r="E311" s="451"/>
      <c r="F311" s="451" t="s">
        <v>75</v>
      </c>
      <c r="G311" s="451"/>
      <c r="H311" s="451"/>
      <c r="I311" s="451"/>
      <c r="J311" s="451"/>
      <c r="K311" s="451"/>
      <c r="L311" s="451"/>
      <c r="M311" s="451"/>
      <c r="N311" s="451"/>
      <c r="O311" s="451"/>
      <c r="P311" s="451"/>
      <c r="Q311" s="451"/>
      <c r="R311" s="451"/>
      <c r="S311" s="451"/>
      <c r="T311" s="451"/>
      <c r="U311" s="451"/>
      <c r="V311" s="451"/>
      <c r="W311" s="451"/>
      <c r="X311" s="451"/>
      <c r="Y311" s="451"/>
      <c r="Z311" s="451"/>
      <c r="AA311" s="451"/>
      <c r="AB311" s="451"/>
      <c r="AC311" s="451" t="s">
        <v>76</v>
      </c>
      <c r="AD311" s="451"/>
      <c r="AE311" s="451"/>
      <c r="AF311" s="451"/>
      <c r="AG311" s="451" t="s">
        <v>249</v>
      </c>
      <c r="AH311" s="451"/>
      <c r="AI311" s="451"/>
      <c r="AJ311" s="451"/>
      <c r="AK311" s="451" t="s">
        <v>77</v>
      </c>
      <c r="AL311" s="451"/>
      <c r="AM311" s="451"/>
      <c r="AN311" s="451"/>
      <c r="AO311" s="451" t="s">
        <v>71</v>
      </c>
      <c r="AP311" s="451"/>
      <c r="AQ311" s="451"/>
      <c r="AR311" s="453"/>
    </row>
    <row r="312" spans="3:44" ht="18" customHeight="1">
      <c r="C312" s="462"/>
      <c r="D312" s="452"/>
      <c r="E312" s="452"/>
      <c r="F312" s="452"/>
      <c r="G312" s="452"/>
      <c r="H312" s="452"/>
      <c r="I312" s="452"/>
      <c r="J312" s="452"/>
      <c r="K312" s="452"/>
      <c r="L312" s="452"/>
      <c r="M312" s="452"/>
      <c r="N312" s="452"/>
      <c r="O312" s="452"/>
      <c r="P312" s="452"/>
      <c r="Q312" s="452"/>
      <c r="R312" s="452"/>
      <c r="S312" s="452"/>
      <c r="T312" s="452"/>
      <c r="U312" s="452"/>
      <c r="V312" s="452"/>
      <c r="W312" s="452"/>
      <c r="X312" s="452"/>
      <c r="Y312" s="452"/>
      <c r="Z312" s="452"/>
      <c r="AA312" s="452"/>
      <c r="AB312" s="452"/>
      <c r="AC312" s="452"/>
      <c r="AD312" s="452"/>
      <c r="AE312" s="452"/>
      <c r="AF312" s="452"/>
      <c r="AG312" s="452"/>
      <c r="AH312" s="452"/>
      <c r="AI312" s="452"/>
      <c r="AJ312" s="452"/>
      <c r="AK312" s="452"/>
      <c r="AL312" s="452"/>
      <c r="AM312" s="452"/>
      <c r="AN312" s="452"/>
      <c r="AO312" s="452"/>
      <c r="AP312" s="452"/>
      <c r="AQ312" s="452"/>
      <c r="AR312" s="454"/>
    </row>
    <row r="313" spans="3:44" ht="18" customHeight="1">
      <c r="C313" s="455" t="s">
        <v>940</v>
      </c>
      <c r="D313" s="456"/>
      <c r="E313" s="456"/>
      <c r="F313" s="493" t="s">
        <v>105</v>
      </c>
      <c r="G313" s="493"/>
      <c r="H313" s="493"/>
      <c r="I313" s="493"/>
      <c r="J313" s="493"/>
      <c r="K313" s="493"/>
      <c r="L313" s="493"/>
      <c r="M313" s="493"/>
      <c r="N313" s="493"/>
      <c r="O313" s="493"/>
      <c r="P313" s="493"/>
      <c r="Q313" s="493"/>
      <c r="R313" s="493"/>
      <c r="S313" s="493"/>
      <c r="T313" s="493"/>
      <c r="U313" s="493"/>
      <c r="V313" s="493"/>
      <c r="W313" s="493"/>
      <c r="X313" s="493"/>
      <c r="Y313" s="493"/>
      <c r="Z313" s="493"/>
      <c r="AA313" s="493"/>
      <c r="AB313" s="493"/>
      <c r="AC313" s="449"/>
      <c r="AD313" s="449"/>
      <c r="AE313" s="449"/>
      <c r="AF313" s="449"/>
      <c r="AG313" s="449">
        <v>0.6</v>
      </c>
      <c r="AH313" s="449"/>
      <c r="AI313" s="449"/>
      <c r="AJ313" s="449"/>
      <c r="AK313" s="449">
        <f>VLOOKUP(C313,[4]MÃODEOBRA!A$1:D$65536,4,FALSE)</f>
        <v>22.98488</v>
      </c>
      <c r="AL313" s="449"/>
      <c r="AM313" s="449"/>
      <c r="AN313" s="449"/>
      <c r="AO313" s="491">
        <f>ROUND(AG313*AK313,2)</f>
        <v>13.79</v>
      </c>
      <c r="AP313" s="491"/>
      <c r="AQ313" s="491"/>
      <c r="AR313" s="492"/>
    </row>
    <row r="314" spans="3:44" ht="18" customHeight="1">
      <c r="C314" s="455" t="s">
        <v>1406</v>
      </c>
      <c r="D314" s="456"/>
      <c r="E314" s="456"/>
      <c r="F314" s="493" t="s">
        <v>815</v>
      </c>
      <c r="G314" s="493"/>
      <c r="H314" s="493"/>
      <c r="I314" s="493"/>
      <c r="J314" s="493"/>
      <c r="K314" s="493"/>
      <c r="L314" s="493"/>
      <c r="M314" s="493"/>
      <c r="N314" s="493"/>
      <c r="O314" s="493"/>
      <c r="P314" s="493"/>
      <c r="Q314" s="493"/>
      <c r="R314" s="493"/>
      <c r="S314" s="493"/>
      <c r="T314" s="493"/>
      <c r="U314" s="493"/>
      <c r="V314" s="493"/>
      <c r="W314" s="493"/>
      <c r="X314" s="493"/>
      <c r="Y314" s="493"/>
      <c r="Z314" s="493"/>
      <c r="AA314" s="493"/>
      <c r="AB314" s="493"/>
      <c r="AC314" s="449"/>
      <c r="AD314" s="449"/>
      <c r="AE314" s="449"/>
      <c r="AF314" s="449"/>
      <c r="AG314" s="449">
        <v>3</v>
      </c>
      <c r="AH314" s="449"/>
      <c r="AI314" s="449"/>
      <c r="AJ314" s="449"/>
      <c r="AK314" s="449">
        <f>VLOOKUP(C314,[4]MÃODEOBRA!A$1:D$65536,4,FALSE)</f>
        <v>11.156079999999999</v>
      </c>
      <c r="AL314" s="449"/>
      <c r="AM314" s="449"/>
      <c r="AN314" s="449"/>
      <c r="AO314" s="491">
        <f>ROUND(AG314*AK314,2)</f>
        <v>33.47</v>
      </c>
      <c r="AP314" s="491"/>
      <c r="AQ314" s="491"/>
      <c r="AR314" s="492"/>
    </row>
    <row r="315" spans="3:44" ht="18" customHeight="1">
      <c r="C315" s="444" t="s">
        <v>942</v>
      </c>
      <c r="D315" s="445"/>
      <c r="E315" s="445"/>
      <c r="F315" s="493" t="s">
        <v>818</v>
      </c>
      <c r="G315" s="493"/>
      <c r="H315" s="493"/>
      <c r="I315" s="493"/>
      <c r="J315" s="493"/>
      <c r="K315" s="493"/>
      <c r="L315" s="493"/>
      <c r="M315" s="493"/>
      <c r="N315" s="493"/>
      <c r="O315" s="493"/>
      <c r="P315" s="493"/>
      <c r="Q315" s="493"/>
      <c r="R315" s="493"/>
      <c r="S315" s="493"/>
      <c r="T315" s="493"/>
      <c r="U315" s="493"/>
      <c r="V315" s="493"/>
      <c r="W315" s="493"/>
      <c r="X315" s="493"/>
      <c r="Y315" s="493"/>
      <c r="Z315" s="493"/>
      <c r="AA315" s="493"/>
      <c r="AB315" s="493"/>
      <c r="AC315" s="425"/>
      <c r="AD315" s="425"/>
      <c r="AE315" s="425"/>
      <c r="AF315" s="425"/>
      <c r="AG315" s="425">
        <v>2.75</v>
      </c>
      <c r="AH315" s="425"/>
      <c r="AI315" s="425"/>
      <c r="AJ315" s="425"/>
      <c r="AK315" s="449">
        <f>VLOOKUP(C315,[4]MÃODEOBRA!A$1:D$65536,4,FALSE)</f>
        <v>11.156079999999999</v>
      </c>
      <c r="AL315" s="449"/>
      <c r="AM315" s="449"/>
      <c r="AN315" s="449"/>
      <c r="AO315" s="491">
        <f>ROUND(AG315*AK315,2)</f>
        <v>30.68</v>
      </c>
      <c r="AP315" s="491"/>
      <c r="AQ315" s="491"/>
      <c r="AR315" s="492"/>
    </row>
    <row r="316" spans="3:44" ht="18" customHeight="1">
      <c r="C316" s="444" t="s">
        <v>1375</v>
      </c>
      <c r="D316" s="445"/>
      <c r="E316" s="445"/>
      <c r="F316" s="493" t="s">
        <v>106</v>
      </c>
      <c r="G316" s="493"/>
      <c r="H316" s="493"/>
      <c r="I316" s="493"/>
      <c r="J316" s="493"/>
      <c r="K316" s="493"/>
      <c r="L316" s="493"/>
      <c r="M316" s="493"/>
      <c r="N316" s="493"/>
      <c r="O316" s="493"/>
      <c r="P316" s="493"/>
      <c r="Q316" s="493"/>
      <c r="R316" s="493"/>
      <c r="S316" s="493"/>
      <c r="T316" s="493"/>
      <c r="U316" s="493"/>
      <c r="V316" s="493"/>
      <c r="W316" s="493"/>
      <c r="X316" s="493"/>
      <c r="Y316" s="493"/>
      <c r="Z316" s="493"/>
      <c r="AA316" s="493"/>
      <c r="AB316" s="493"/>
      <c r="AC316" s="425"/>
      <c r="AD316" s="425"/>
      <c r="AE316" s="425"/>
      <c r="AF316" s="425"/>
      <c r="AG316" s="425">
        <v>2.75</v>
      </c>
      <c r="AH316" s="425"/>
      <c r="AI316" s="425"/>
      <c r="AJ316" s="425"/>
      <c r="AK316" s="449">
        <f>VLOOKUP(C316,[4]MÃODEOBRA!A$1:D$65536,4,FALSE)</f>
        <v>7.90456</v>
      </c>
      <c r="AL316" s="449"/>
      <c r="AM316" s="449"/>
      <c r="AN316" s="449"/>
      <c r="AO316" s="491">
        <f>ROUND(AG316*AK316,2)</f>
        <v>21.74</v>
      </c>
      <c r="AP316" s="491"/>
      <c r="AQ316" s="491"/>
      <c r="AR316" s="492"/>
    </row>
    <row r="317" spans="3:44" ht="18" customHeight="1">
      <c r="C317" s="444"/>
      <c r="D317" s="445"/>
      <c r="E317" s="445"/>
      <c r="F317" s="463"/>
      <c r="G317" s="463"/>
      <c r="H317" s="463"/>
      <c r="I317" s="463"/>
      <c r="J317" s="463"/>
      <c r="K317" s="463"/>
      <c r="L317" s="463"/>
      <c r="M317" s="463"/>
      <c r="N317" s="463"/>
      <c r="O317" s="463"/>
      <c r="P317" s="463"/>
      <c r="Q317" s="463"/>
      <c r="R317" s="463"/>
      <c r="S317" s="463"/>
      <c r="T317" s="463"/>
      <c r="U317" s="463"/>
      <c r="V317" s="463"/>
      <c r="W317" s="463"/>
      <c r="X317" s="463"/>
      <c r="Y317" s="463"/>
      <c r="Z317" s="463"/>
      <c r="AA317" s="463"/>
      <c r="AB317" s="463"/>
      <c r="AC317" s="425"/>
      <c r="AD317" s="425"/>
      <c r="AE317" s="425"/>
      <c r="AF317" s="425"/>
      <c r="AG317" s="425"/>
      <c r="AH317" s="425"/>
      <c r="AI317" s="425"/>
      <c r="AJ317" s="425"/>
      <c r="AK317" s="425"/>
      <c r="AL317" s="425"/>
      <c r="AM317" s="425"/>
      <c r="AN317" s="425"/>
      <c r="AO317" s="465"/>
      <c r="AP317" s="465"/>
      <c r="AQ317" s="465"/>
      <c r="AR317" s="489"/>
    </row>
    <row r="318" spans="3:44" ht="18" customHeight="1">
      <c r="C318" s="444"/>
      <c r="D318" s="445"/>
      <c r="E318" s="445"/>
      <c r="F318" s="463"/>
      <c r="G318" s="463"/>
      <c r="H318" s="463"/>
      <c r="I318" s="463"/>
      <c r="J318" s="463"/>
      <c r="K318" s="463"/>
      <c r="L318" s="463"/>
      <c r="M318" s="463"/>
      <c r="N318" s="463"/>
      <c r="O318" s="463"/>
      <c r="P318" s="463"/>
      <c r="Q318" s="463"/>
      <c r="R318" s="463"/>
      <c r="S318" s="463"/>
      <c r="T318" s="463"/>
      <c r="U318" s="463"/>
      <c r="V318" s="463"/>
      <c r="W318" s="463"/>
      <c r="X318" s="463"/>
      <c r="Y318" s="463"/>
      <c r="Z318" s="463"/>
      <c r="AA318" s="463"/>
      <c r="AB318" s="463"/>
      <c r="AC318" s="425"/>
      <c r="AD318" s="425"/>
      <c r="AE318" s="425"/>
      <c r="AF318" s="425"/>
      <c r="AG318" s="425"/>
      <c r="AH318" s="425"/>
      <c r="AI318" s="425"/>
      <c r="AJ318" s="425"/>
      <c r="AK318" s="425"/>
      <c r="AL318" s="425"/>
      <c r="AM318" s="425"/>
      <c r="AN318" s="425"/>
      <c r="AO318" s="465"/>
      <c r="AP318" s="465"/>
      <c r="AQ318" s="465"/>
      <c r="AR318" s="489"/>
    </row>
    <row r="319" spans="3:44" ht="18" customHeight="1">
      <c r="C319" s="444"/>
      <c r="D319" s="445"/>
      <c r="E319" s="445"/>
      <c r="F319" s="463"/>
      <c r="G319" s="463"/>
      <c r="H319" s="463"/>
      <c r="I319" s="463"/>
      <c r="J319" s="463"/>
      <c r="K319" s="463"/>
      <c r="L319" s="463"/>
      <c r="M319" s="463"/>
      <c r="N319" s="463"/>
      <c r="O319" s="463"/>
      <c r="P319" s="463"/>
      <c r="Q319" s="463"/>
      <c r="R319" s="463"/>
      <c r="S319" s="463"/>
      <c r="T319" s="463"/>
      <c r="U319" s="463"/>
      <c r="V319" s="463"/>
      <c r="W319" s="463"/>
      <c r="X319" s="463"/>
      <c r="Y319" s="463"/>
      <c r="Z319" s="463"/>
      <c r="AA319" s="463"/>
      <c r="AB319" s="463"/>
      <c r="AC319" s="425"/>
      <c r="AD319" s="425"/>
      <c r="AE319" s="425"/>
      <c r="AF319" s="425"/>
      <c r="AG319" s="425"/>
      <c r="AH319" s="425"/>
      <c r="AI319" s="425"/>
      <c r="AJ319" s="425"/>
      <c r="AK319" s="425"/>
      <c r="AL319" s="425"/>
      <c r="AM319" s="425"/>
      <c r="AN319" s="425"/>
      <c r="AO319" s="465"/>
      <c r="AP319" s="465"/>
      <c r="AQ319" s="465"/>
      <c r="AR319" s="489"/>
    </row>
    <row r="320" spans="3:44" ht="18" customHeight="1">
      <c r="C320" s="444"/>
      <c r="D320" s="445"/>
      <c r="E320" s="445"/>
      <c r="F320" s="463"/>
      <c r="G320" s="463"/>
      <c r="H320" s="463"/>
      <c r="I320" s="463"/>
      <c r="J320" s="463"/>
      <c r="K320" s="463"/>
      <c r="L320" s="463"/>
      <c r="M320" s="463"/>
      <c r="N320" s="463"/>
      <c r="O320" s="463"/>
      <c r="P320" s="463"/>
      <c r="Q320" s="463"/>
      <c r="R320" s="463"/>
      <c r="S320" s="463"/>
      <c r="T320" s="463"/>
      <c r="U320" s="463"/>
      <c r="V320" s="463"/>
      <c r="W320" s="463"/>
      <c r="X320" s="463"/>
      <c r="Y320" s="463"/>
      <c r="Z320" s="463"/>
      <c r="AA320" s="463"/>
      <c r="AB320" s="463"/>
      <c r="AC320" s="425"/>
      <c r="AD320" s="425"/>
      <c r="AE320" s="425"/>
      <c r="AF320" s="425"/>
      <c r="AG320" s="425"/>
      <c r="AH320" s="425"/>
      <c r="AI320" s="425"/>
      <c r="AJ320" s="425"/>
      <c r="AK320" s="425"/>
      <c r="AL320" s="425"/>
      <c r="AM320" s="425"/>
      <c r="AN320" s="425"/>
      <c r="AO320" s="465"/>
      <c r="AP320" s="465"/>
      <c r="AQ320" s="465"/>
      <c r="AR320" s="489"/>
    </row>
    <row r="321" spans="3:44" ht="18" customHeight="1">
      <c r="C321" s="444"/>
      <c r="D321" s="445"/>
      <c r="E321" s="445"/>
      <c r="F321" s="463"/>
      <c r="G321" s="463"/>
      <c r="H321" s="463"/>
      <c r="I321" s="463"/>
      <c r="J321" s="463"/>
      <c r="K321" s="463"/>
      <c r="L321" s="463"/>
      <c r="M321" s="463"/>
      <c r="N321" s="463"/>
      <c r="O321" s="463"/>
      <c r="P321" s="463"/>
      <c r="Q321" s="463"/>
      <c r="R321" s="463"/>
      <c r="S321" s="463"/>
      <c r="T321" s="463"/>
      <c r="U321" s="463"/>
      <c r="V321" s="463"/>
      <c r="W321" s="463"/>
      <c r="X321" s="463"/>
      <c r="Y321" s="463"/>
      <c r="Z321" s="463"/>
      <c r="AA321" s="463"/>
      <c r="AB321" s="463"/>
      <c r="AC321" s="425"/>
      <c r="AD321" s="425"/>
      <c r="AE321" s="425"/>
      <c r="AF321" s="425"/>
      <c r="AG321" s="425"/>
      <c r="AH321" s="425"/>
      <c r="AI321" s="425"/>
      <c r="AJ321" s="425"/>
      <c r="AK321" s="425"/>
      <c r="AL321" s="425"/>
      <c r="AM321" s="425"/>
      <c r="AN321" s="425"/>
      <c r="AO321" s="465"/>
      <c r="AP321" s="465"/>
      <c r="AQ321" s="465"/>
      <c r="AR321" s="489"/>
    </row>
    <row r="322" spans="3:44" ht="18" customHeight="1">
      <c r="C322" s="480"/>
      <c r="D322" s="481"/>
      <c r="E322" s="481"/>
      <c r="F322" s="481"/>
      <c r="G322" s="481"/>
      <c r="H322" s="481"/>
      <c r="I322" s="481"/>
      <c r="J322" s="481"/>
      <c r="K322" s="481"/>
      <c r="L322" s="481"/>
      <c r="M322" s="481"/>
      <c r="N322" s="481"/>
      <c r="O322" s="481"/>
      <c r="P322" s="481"/>
      <c r="Q322" s="481"/>
      <c r="R322" s="481"/>
      <c r="S322" s="481"/>
      <c r="T322" s="481"/>
      <c r="U322" s="481"/>
      <c r="V322" s="481"/>
      <c r="W322" s="481"/>
      <c r="X322" s="482"/>
      <c r="Y322" s="483" t="s">
        <v>78</v>
      </c>
      <c r="Z322" s="484"/>
      <c r="AA322" s="484"/>
      <c r="AB322" s="484"/>
      <c r="AC322" s="484"/>
      <c r="AD322" s="484"/>
      <c r="AE322" s="484"/>
      <c r="AF322" s="484"/>
      <c r="AG322" s="538">
        <v>0.2051</v>
      </c>
      <c r="AH322" s="538"/>
      <c r="AI322" s="538"/>
      <c r="AJ322" s="538"/>
      <c r="AK322" s="465">
        <f>SUM(AO313:AR321)</f>
        <v>99.679999999999993</v>
      </c>
      <c r="AL322" s="486"/>
      <c r="AM322" s="486"/>
      <c r="AN322" s="486"/>
      <c r="AO322" s="487">
        <f>ROUND(AG322*AK322,2)</f>
        <v>20.440000000000001</v>
      </c>
      <c r="AP322" s="487"/>
      <c r="AQ322" s="487"/>
      <c r="AR322" s="488"/>
    </row>
    <row r="323" spans="3:44" ht="18" customHeight="1">
      <c r="C323" s="427"/>
      <c r="D323" s="428"/>
      <c r="E323" s="428"/>
      <c r="F323" s="428"/>
      <c r="G323" s="428"/>
      <c r="H323" s="428"/>
      <c r="I323" s="428"/>
      <c r="J323" s="428"/>
      <c r="K323" s="428"/>
      <c r="L323" s="428"/>
      <c r="M323" s="428"/>
      <c r="N323" s="428"/>
      <c r="O323" s="428"/>
      <c r="P323" s="428"/>
      <c r="Q323" s="428"/>
      <c r="R323" s="428"/>
      <c r="S323" s="428"/>
      <c r="T323" s="428"/>
      <c r="U323" s="428"/>
      <c r="V323" s="428"/>
      <c r="W323" s="428"/>
      <c r="X323" s="429"/>
      <c r="Y323" s="430" t="s">
        <v>79</v>
      </c>
      <c r="Z323" s="431"/>
      <c r="AA323" s="431"/>
      <c r="AB323" s="431"/>
      <c r="AC323" s="431"/>
      <c r="AD323" s="431"/>
      <c r="AE323" s="431"/>
      <c r="AF323" s="431"/>
      <c r="AG323" s="431"/>
      <c r="AH323" s="431"/>
      <c r="AI323" s="431"/>
      <c r="AJ323" s="431"/>
      <c r="AK323" s="431"/>
      <c r="AL323" s="431"/>
      <c r="AM323" s="431"/>
      <c r="AN323" s="431"/>
      <c r="AO323" s="432">
        <f>SUM(AO313:AR322)</f>
        <v>120.11999999999999</v>
      </c>
      <c r="AP323" s="432"/>
      <c r="AQ323" s="432"/>
      <c r="AR323" s="433"/>
    </row>
    <row r="325" spans="3:44" ht="18" customHeight="1">
      <c r="C325" s="469"/>
      <c r="D325" s="470"/>
      <c r="E325" s="470"/>
      <c r="F325" s="470"/>
      <c r="G325" s="470"/>
      <c r="H325" s="470"/>
      <c r="I325" s="470"/>
      <c r="J325" s="470"/>
      <c r="K325" s="470"/>
      <c r="L325" s="470"/>
      <c r="M325" s="470"/>
      <c r="N325" s="470"/>
      <c r="O325" s="470"/>
      <c r="P325" s="470"/>
      <c r="Q325" s="470"/>
      <c r="R325" s="470"/>
      <c r="S325" s="470"/>
      <c r="T325" s="470"/>
      <c r="U325" s="470"/>
      <c r="V325" s="470"/>
      <c r="W325" s="470"/>
      <c r="X325" s="471"/>
      <c r="Y325" s="472" t="s">
        <v>80</v>
      </c>
      <c r="Z325" s="472"/>
      <c r="AA325" s="472"/>
      <c r="AB325" s="472"/>
      <c r="AC325" s="472"/>
      <c r="AD325" s="472"/>
      <c r="AE325" s="472"/>
      <c r="AF325" s="472"/>
      <c r="AG325" s="472"/>
      <c r="AH325" s="472"/>
      <c r="AI325" s="472"/>
      <c r="AJ325" s="472"/>
      <c r="AK325" s="472"/>
      <c r="AL325" s="472"/>
      <c r="AM325" s="472"/>
      <c r="AN325" s="472"/>
      <c r="AO325" s="473">
        <f>AO309+AO323</f>
        <v>120.11999999999999</v>
      </c>
      <c r="AP325" s="474"/>
      <c r="AQ325" s="474"/>
      <c r="AR325" s="475"/>
    </row>
    <row r="326" spans="3:44" ht="18" customHeight="1">
      <c r="C326" s="476" t="s">
        <v>81</v>
      </c>
      <c r="D326" s="431"/>
      <c r="E326" s="431"/>
      <c r="F326" s="431"/>
      <c r="G326" s="431"/>
      <c r="H326" s="431"/>
      <c r="I326" s="431"/>
      <c r="J326" s="431"/>
      <c r="K326" s="431"/>
      <c r="L326" s="431"/>
      <c r="M326" s="431"/>
      <c r="N326" s="431"/>
      <c r="O326" s="431"/>
      <c r="P326" s="431"/>
      <c r="Q326" s="432">
        <v>1</v>
      </c>
      <c r="R326" s="432"/>
      <c r="S326" s="432"/>
      <c r="T326" s="432"/>
      <c r="U326" s="477"/>
      <c r="V326" s="430" t="s">
        <v>194</v>
      </c>
      <c r="W326" s="431"/>
      <c r="X326" s="431"/>
      <c r="Y326" s="472" t="s">
        <v>82</v>
      </c>
      <c r="Z326" s="472"/>
      <c r="AA326" s="472"/>
      <c r="AB326" s="472"/>
      <c r="AC326" s="472"/>
      <c r="AD326" s="472"/>
      <c r="AE326" s="472"/>
      <c r="AF326" s="472"/>
      <c r="AG326" s="472"/>
      <c r="AH326" s="472"/>
      <c r="AI326" s="472"/>
      <c r="AJ326" s="472"/>
      <c r="AK326" s="472"/>
      <c r="AL326" s="472"/>
      <c r="AM326" s="472"/>
      <c r="AN326" s="472"/>
      <c r="AO326" s="478">
        <f>ROUND(AO325/Q326,2)</f>
        <v>120.12</v>
      </c>
      <c r="AP326" s="478"/>
      <c r="AQ326" s="478"/>
      <c r="AR326" s="479"/>
    </row>
    <row r="328" spans="3:44" ht="18" customHeight="1">
      <c r="C328" s="461" t="s">
        <v>43</v>
      </c>
      <c r="D328" s="451"/>
      <c r="E328" s="451"/>
      <c r="F328" s="451" t="s">
        <v>83</v>
      </c>
      <c r="G328" s="451"/>
      <c r="H328" s="451"/>
      <c r="I328" s="451"/>
      <c r="J328" s="451"/>
      <c r="K328" s="451"/>
      <c r="L328" s="451"/>
      <c r="M328" s="451"/>
      <c r="N328" s="451"/>
      <c r="O328" s="451"/>
      <c r="P328" s="451"/>
      <c r="Q328" s="451"/>
      <c r="R328" s="451"/>
      <c r="S328" s="451"/>
      <c r="T328" s="451"/>
      <c r="U328" s="451"/>
      <c r="V328" s="451"/>
      <c r="W328" s="451"/>
      <c r="X328" s="451"/>
      <c r="Y328" s="451"/>
      <c r="Z328" s="451"/>
      <c r="AA328" s="451"/>
      <c r="AB328" s="451"/>
      <c r="AC328" s="451" t="s">
        <v>84</v>
      </c>
      <c r="AD328" s="451"/>
      <c r="AE328" s="451"/>
      <c r="AF328" s="451"/>
      <c r="AG328" s="451" t="s">
        <v>85</v>
      </c>
      <c r="AH328" s="451"/>
      <c r="AI328" s="451"/>
      <c r="AJ328" s="451"/>
      <c r="AK328" s="451" t="s">
        <v>86</v>
      </c>
      <c r="AL328" s="451"/>
      <c r="AM328" s="451"/>
      <c r="AN328" s="451"/>
      <c r="AO328" s="451" t="s">
        <v>87</v>
      </c>
      <c r="AP328" s="451"/>
      <c r="AQ328" s="451"/>
      <c r="AR328" s="453"/>
    </row>
    <row r="329" spans="3:44" ht="18" customHeight="1">
      <c r="C329" s="462"/>
      <c r="D329" s="452"/>
      <c r="E329" s="452"/>
      <c r="F329" s="452"/>
      <c r="G329" s="452"/>
      <c r="H329" s="452"/>
      <c r="I329" s="452"/>
      <c r="J329" s="452"/>
      <c r="K329" s="452"/>
      <c r="L329" s="452"/>
      <c r="M329" s="452"/>
      <c r="N329" s="452"/>
      <c r="O329" s="452"/>
      <c r="P329" s="452"/>
      <c r="Q329" s="452"/>
      <c r="R329" s="452"/>
      <c r="S329" s="452"/>
      <c r="T329" s="452"/>
      <c r="U329" s="452"/>
      <c r="V329" s="452"/>
      <c r="W329" s="452"/>
      <c r="X329" s="452"/>
      <c r="Y329" s="452"/>
      <c r="Z329" s="452"/>
      <c r="AA329" s="452"/>
      <c r="AB329" s="452"/>
      <c r="AC329" s="452"/>
      <c r="AD329" s="452"/>
      <c r="AE329" s="452"/>
      <c r="AF329" s="452"/>
      <c r="AG329" s="452"/>
      <c r="AH329" s="452"/>
      <c r="AI329" s="452"/>
      <c r="AJ329" s="452"/>
      <c r="AK329" s="452"/>
      <c r="AL329" s="452"/>
      <c r="AM329" s="452"/>
      <c r="AN329" s="452"/>
      <c r="AO329" s="452"/>
      <c r="AP329" s="452"/>
      <c r="AQ329" s="452"/>
      <c r="AR329" s="454"/>
    </row>
    <row r="330" spans="3:44" ht="18" customHeight="1">
      <c r="C330" s="455" t="s">
        <v>1407</v>
      </c>
      <c r="D330" s="456"/>
      <c r="E330" s="456"/>
      <c r="F330" s="493" t="s">
        <v>932</v>
      </c>
      <c r="G330" s="493"/>
      <c r="H330" s="493"/>
      <c r="I330" s="493"/>
      <c r="J330" s="493"/>
      <c r="K330" s="493"/>
      <c r="L330" s="493"/>
      <c r="M330" s="493"/>
      <c r="N330" s="493"/>
      <c r="O330" s="493"/>
      <c r="P330" s="493"/>
      <c r="Q330" s="493"/>
      <c r="R330" s="493"/>
      <c r="S330" s="493"/>
      <c r="T330" s="493"/>
      <c r="U330" s="493"/>
      <c r="V330" s="493"/>
      <c r="W330" s="493"/>
      <c r="X330" s="493"/>
      <c r="Y330" s="493"/>
      <c r="Z330" s="493"/>
      <c r="AA330" s="493"/>
      <c r="AB330" s="493"/>
      <c r="AC330" s="531" t="s">
        <v>878</v>
      </c>
      <c r="AD330" s="531"/>
      <c r="AE330" s="531"/>
      <c r="AF330" s="531"/>
      <c r="AG330" s="466">
        <f>VLOOKUP(C330,[4]MATERIAL!A$1:D$65536,4,FALSE)</f>
        <v>33.25</v>
      </c>
      <c r="AH330" s="467"/>
      <c r="AI330" s="467"/>
      <c r="AJ330" s="468"/>
      <c r="AK330" s="539">
        <v>0.67</v>
      </c>
      <c r="AL330" s="540"/>
      <c r="AM330" s="540"/>
      <c r="AN330" s="541"/>
      <c r="AO330" s="449">
        <f t="shared" ref="AO330:AO337" si="3">ROUND(AG330*AK330,2)</f>
        <v>22.28</v>
      </c>
      <c r="AP330" s="449"/>
      <c r="AQ330" s="449"/>
      <c r="AR330" s="450"/>
    </row>
    <row r="331" spans="3:44" ht="18" customHeight="1">
      <c r="C331" s="444" t="s">
        <v>1408</v>
      </c>
      <c r="D331" s="445"/>
      <c r="E331" s="445"/>
      <c r="F331" s="493" t="s">
        <v>933</v>
      </c>
      <c r="G331" s="493"/>
      <c r="H331" s="493"/>
      <c r="I331" s="493"/>
      <c r="J331" s="493"/>
      <c r="K331" s="493"/>
      <c r="L331" s="493"/>
      <c r="M331" s="493"/>
      <c r="N331" s="493"/>
      <c r="O331" s="493"/>
      <c r="P331" s="493"/>
      <c r="Q331" s="493"/>
      <c r="R331" s="493"/>
      <c r="S331" s="493"/>
      <c r="T331" s="493"/>
      <c r="U331" s="493"/>
      <c r="V331" s="493"/>
      <c r="W331" s="493"/>
      <c r="X331" s="493"/>
      <c r="Y331" s="493"/>
      <c r="Z331" s="493"/>
      <c r="AA331" s="493"/>
      <c r="AB331" s="493"/>
      <c r="AC331" s="464" t="s">
        <v>878</v>
      </c>
      <c r="AD331" s="464"/>
      <c r="AE331" s="464"/>
      <c r="AF331" s="464"/>
      <c r="AG331" s="466">
        <f>VLOOKUP(C331,[4]MATERIAL!A$1:D$65536,4,FALSE)</f>
        <v>24.625</v>
      </c>
      <c r="AH331" s="467"/>
      <c r="AI331" s="467"/>
      <c r="AJ331" s="468"/>
      <c r="AK331" s="542">
        <v>0.27</v>
      </c>
      <c r="AL331" s="543"/>
      <c r="AM331" s="543"/>
      <c r="AN331" s="544"/>
      <c r="AO331" s="449">
        <f t="shared" si="3"/>
        <v>6.65</v>
      </c>
      <c r="AP331" s="449"/>
      <c r="AQ331" s="449"/>
      <c r="AR331" s="450"/>
    </row>
    <row r="332" spans="3:44" ht="18" customHeight="1">
      <c r="C332" s="444" t="s">
        <v>1409</v>
      </c>
      <c r="D332" s="445"/>
      <c r="E332" s="445"/>
      <c r="F332" s="493" t="s">
        <v>934</v>
      </c>
      <c r="G332" s="493"/>
      <c r="H332" s="493"/>
      <c r="I332" s="493"/>
      <c r="J332" s="493"/>
      <c r="K332" s="493"/>
      <c r="L332" s="493"/>
      <c r="M332" s="493"/>
      <c r="N332" s="493"/>
      <c r="O332" s="493"/>
      <c r="P332" s="493"/>
      <c r="Q332" s="493"/>
      <c r="R332" s="493"/>
      <c r="S332" s="493"/>
      <c r="T332" s="493"/>
      <c r="U332" s="493"/>
      <c r="V332" s="493"/>
      <c r="W332" s="493"/>
      <c r="X332" s="493"/>
      <c r="Y332" s="493"/>
      <c r="Z332" s="493"/>
      <c r="AA332" s="493"/>
      <c r="AB332" s="493"/>
      <c r="AC332" s="464" t="s">
        <v>878</v>
      </c>
      <c r="AD332" s="464"/>
      <c r="AE332" s="464"/>
      <c r="AF332" s="464"/>
      <c r="AG332" s="466">
        <f>VLOOKUP(C332,[4]MATERIAL!A$1:D$65536,4,FALSE)</f>
        <v>36</v>
      </c>
      <c r="AH332" s="467"/>
      <c r="AI332" s="467"/>
      <c r="AJ332" s="468"/>
      <c r="AK332" s="542">
        <v>0.67</v>
      </c>
      <c r="AL332" s="543"/>
      <c r="AM332" s="543"/>
      <c r="AN332" s="544"/>
      <c r="AO332" s="449">
        <f t="shared" si="3"/>
        <v>24.12</v>
      </c>
      <c r="AP332" s="449"/>
      <c r="AQ332" s="449"/>
      <c r="AR332" s="450"/>
    </row>
    <row r="333" spans="3:44" ht="18" customHeight="1">
      <c r="C333" s="444" t="s">
        <v>1395</v>
      </c>
      <c r="D333" s="445"/>
      <c r="E333" s="445"/>
      <c r="F333" s="463" t="s">
        <v>935</v>
      </c>
      <c r="G333" s="463"/>
      <c r="H333" s="463"/>
      <c r="I333" s="463"/>
      <c r="J333" s="463"/>
      <c r="K333" s="463"/>
      <c r="L333" s="463"/>
      <c r="M333" s="463"/>
      <c r="N333" s="463"/>
      <c r="O333" s="463"/>
      <c r="P333" s="463"/>
      <c r="Q333" s="463"/>
      <c r="R333" s="463"/>
      <c r="S333" s="463"/>
      <c r="T333" s="463"/>
      <c r="U333" s="463"/>
      <c r="V333" s="463"/>
      <c r="W333" s="463"/>
      <c r="X333" s="463"/>
      <c r="Y333" s="463"/>
      <c r="Z333" s="463"/>
      <c r="AA333" s="463"/>
      <c r="AB333" s="463"/>
      <c r="AC333" s="464" t="s">
        <v>246</v>
      </c>
      <c r="AD333" s="464"/>
      <c r="AE333" s="464"/>
      <c r="AF333" s="464"/>
      <c r="AG333" s="466">
        <f>VLOOKUP(C333,[4]MATERIAL!A$1:D$65536,4,FALSE)</f>
        <v>0.34399999999999997</v>
      </c>
      <c r="AH333" s="467"/>
      <c r="AI333" s="467"/>
      <c r="AJ333" s="468"/>
      <c r="AK333" s="542">
        <v>36.5</v>
      </c>
      <c r="AL333" s="543"/>
      <c r="AM333" s="543"/>
      <c r="AN333" s="544"/>
      <c r="AO333" s="449">
        <f t="shared" si="3"/>
        <v>12.56</v>
      </c>
      <c r="AP333" s="449"/>
      <c r="AQ333" s="449"/>
      <c r="AR333" s="450"/>
    </row>
    <row r="334" spans="3:44" ht="18" customHeight="1">
      <c r="C334" s="444"/>
      <c r="D334" s="445"/>
      <c r="E334" s="445"/>
      <c r="F334" s="463" t="s">
        <v>949</v>
      </c>
      <c r="G334" s="463"/>
      <c r="H334" s="463"/>
      <c r="I334" s="463"/>
      <c r="J334" s="463"/>
      <c r="K334" s="463"/>
      <c r="L334" s="463"/>
      <c r="M334" s="463"/>
      <c r="N334" s="463"/>
      <c r="O334" s="463"/>
      <c r="P334" s="463"/>
      <c r="Q334" s="463"/>
      <c r="R334" s="463"/>
      <c r="S334" s="463"/>
      <c r="T334" s="463"/>
      <c r="U334" s="463"/>
      <c r="V334" s="463"/>
      <c r="W334" s="463"/>
      <c r="X334" s="463"/>
      <c r="Y334" s="463"/>
      <c r="Z334" s="463"/>
      <c r="AA334" s="463"/>
      <c r="AB334" s="463"/>
      <c r="AC334" s="464" t="s">
        <v>252</v>
      </c>
      <c r="AD334" s="464"/>
      <c r="AE334" s="464"/>
      <c r="AF334" s="464"/>
      <c r="AG334" s="465">
        <v>380</v>
      </c>
      <c r="AH334" s="465"/>
      <c r="AI334" s="465"/>
      <c r="AJ334" s="465"/>
      <c r="AK334" s="542">
        <v>1</v>
      </c>
      <c r="AL334" s="543"/>
      <c r="AM334" s="543"/>
      <c r="AN334" s="544"/>
      <c r="AO334" s="449">
        <f t="shared" si="3"/>
        <v>380</v>
      </c>
      <c r="AP334" s="449"/>
      <c r="AQ334" s="449"/>
      <c r="AR334" s="450"/>
    </row>
    <row r="335" spans="3:44" ht="18" customHeight="1">
      <c r="C335" s="444" t="s">
        <v>1410</v>
      </c>
      <c r="D335" s="445"/>
      <c r="E335" s="445"/>
      <c r="F335" s="463" t="s">
        <v>936</v>
      </c>
      <c r="G335" s="463"/>
      <c r="H335" s="463"/>
      <c r="I335" s="463"/>
      <c r="J335" s="463"/>
      <c r="K335" s="463"/>
      <c r="L335" s="463"/>
      <c r="M335" s="463"/>
      <c r="N335" s="463"/>
      <c r="O335" s="463"/>
      <c r="P335" s="463"/>
      <c r="Q335" s="463"/>
      <c r="R335" s="463"/>
      <c r="S335" s="463"/>
      <c r="T335" s="463"/>
      <c r="U335" s="463"/>
      <c r="V335" s="463"/>
      <c r="W335" s="463"/>
      <c r="X335" s="463"/>
      <c r="Y335" s="463"/>
      <c r="Z335" s="463"/>
      <c r="AA335" s="463"/>
      <c r="AB335" s="463"/>
      <c r="AC335" s="464" t="s">
        <v>189</v>
      </c>
      <c r="AD335" s="464"/>
      <c r="AE335" s="464"/>
      <c r="AF335" s="464"/>
      <c r="AG335" s="466">
        <f>VLOOKUP(C335,[4]MATERIAL!A$1:D$65536,4,FALSE)</f>
        <v>30</v>
      </c>
      <c r="AH335" s="467"/>
      <c r="AI335" s="467"/>
      <c r="AJ335" s="468"/>
      <c r="AK335" s="542">
        <v>0.3</v>
      </c>
      <c r="AL335" s="543"/>
      <c r="AM335" s="543"/>
      <c r="AN335" s="544"/>
      <c r="AO335" s="449">
        <f t="shared" si="3"/>
        <v>9</v>
      </c>
      <c r="AP335" s="449"/>
      <c r="AQ335" s="449"/>
      <c r="AR335" s="450"/>
    </row>
    <row r="336" spans="3:44" ht="18" customHeight="1">
      <c r="C336" s="444" t="s">
        <v>1398</v>
      </c>
      <c r="D336" s="445"/>
      <c r="E336" s="445"/>
      <c r="F336" s="463" t="s">
        <v>107</v>
      </c>
      <c r="G336" s="463"/>
      <c r="H336" s="463"/>
      <c r="I336" s="463"/>
      <c r="J336" s="463"/>
      <c r="K336" s="463"/>
      <c r="L336" s="463"/>
      <c r="M336" s="463"/>
      <c r="N336" s="463"/>
      <c r="O336" s="463"/>
      <c r="P336" s="463"/>
      <c r="Q336" s="463"/>
      <c r="R336" s="463"/>
      <c r="S336" s="463"/>
      <c r="T336" s="463"/>
      <c r="U336" s="463"/>
      <c r="V336" s="463"/>
      <c r="W336" s="463"/>
      <c r="X336" s="463"/>
      <c r="Y336" s="463"/>
      <c r="Z336" s="463"/>
      <c r="AA336" s="463"/>
      <c r="AB336" s="463"/>
      <c r="AC336" s="464" t="s">
        <v>246</v>
      </c>
      <c r="AD336" s="464"/>
      <c r="AE336" s="464"/>
      <c r="AF336" s="464"/>
      <c r="AG336" s="466">
        <f>VLOOKUP(C336,[4]MATERIAL!A$1:D$65536,4,FALSE)</f>
        <v>2.31</v>
      </c>
      <c r="AH336" s="467"/>
      <c r="AI336" s="467"/>
      <c r="AJ336" s="468"/>
      <c r="AK336" s="542">
        <v>0.31</v>
      </c>
      <c r="AL336" s="543"/>
      <c r="AM336" s="543"/>
      <c r="AN336" s="544"/>
      <c r="AO336" s="449">
        <f t="shared" si="3"/>
        <v>0.72</v>
      </c>
      <c r="AP336" s="449"/>
      <c r="AQ336" s="449"/>
      <c r="AR336" s="450"/>
    </row>
    <row r="337" spans="3:44" ht="18" customHeight="1">
      <c r="C337" s="444" t="s">
        <v>1411</v>
      </c>
      <c r="D337" s="445"/>
      <c r="E337" s="445"/>
      <c r="F337" s="463" t="s">
        <v>937</v>
      </c>
      <c r="G337" s="463"/>
      <c r="H337" s="463"/>
      <c r="I337" s="463"/>
      <c r="J337" s="463"/>
      <c r="K337" s="463"/>
      <c r="L337" s="463"/>
      <c r="M337" s="463"/>
      <c r="N337" s="463"/>
      <c r="O337" s="463"/>
      <c r="P337" s="463"/>
      <c r="Q337" s="463"/>
      <c r="R337" s="463"/>
      <c r="S337" s="463"/>
      <c r="T337" s="463"/>
      <c r="U337" s="463"/>
      <c r="V337" s="463"/>
      <c r="W337" s="463"/>
      <c r="X337" s="463"/>
      <c r="Y337" s="463"/>
      <c r="Z337" s="463"/>
      <c r="AA337" s="463"/>
      <c r="AB337" s="463"/>
      <c r="AC337" s="464" t="s">
        <v>246</v>
      </c>
      <c r="AD337" s="464"/>
      <c r="AE337" s="464"/>
      <c r="AF337" s="464"/>
      <c r="AG337" s="466">
        <f>VLOOKUP(C337,[4]MATERIAL!A$1:D$65536,4,FALSE)</f>
        <v>4.25</v>
      </c>
      <c r="AH337" s="467"/>
      <c r="AI337" s="467"/>
      <c r="AJ337" s="468"/>
      <c r="AK337" s="542">
        <v>0.72</v>
      </c>
      <c r="AL337" s="543"/>
      <c r="AM337" s="543"/>
      <c r="AN337" s="544"/>
      <c r="AO337" s="425">
        <f t="shared" si="3"/>
        <v>3.06</v>
      </c>
      <c r="AP337" s="425"/>
      <c r="AQ337" s="425"/>
      <c r="AR337" s="426"/>
    </row>
    <row r="338" spans="3:44" ht="18" customHeight="1">
      <c r="C338" s="427"/>
      <c r="D338" s="428"/>
      <c r="E338" s="428"/>
      <c r="F338" s="428"/>
      <c r="G338" s="428"/>
      <c r="H338" s="428"/>
      <c r="I338" s="428"/>
      <c r="J338" s="428"/>
      <c r="K338" s="428"/>
      <c r="L338" s="428"/>
      <c r="M338" s="428"/>
      <c r="N338" s="428"/>
      <c r="O338" s="428"/>
      <c r="P338" s="428"/>
      <c r="Q338" s="428"/>
      <c r="R338" s="428"/>
      <c r="S338" s="428"/>
      <c r="T338" s="428"/>
      <c r="U338" s="428"/>
      <c r="V338" s="428"/>
      <c r="W338" s="428"/>
      <c r="X338" s="429"/>
      <c r="Y338" s="430" t="s">
        <v>88</v>
      </c>
      <c r="Z338" s="431"/>
      <c r="AA338" s="431"/>
      <c r="AB338" s="431"/>
      <c r="AC338" s="431"/>
      <c r="AD338" s="431"/>
      <c r="AE338" s="431"/>
      <c r="AF338" s="431"/>
      <c r="AG338" s="431"/>
      <c r="AH338" s="431"/>
      <c r="AI338" s="431"/>
      <c r="AJ338" s="431"/>
      <c r="AK338" s="431"/>
      <c r="AL338" s="431"/>
      <c r="AM338" s="431"/>
      <c r="AN338" s="431"/>
      <c r="AO338" s="432">
        <f>SUM(AO330:AR337)</f>
        <v>458.39000000000004</v>
      </c>
      <c r="AP338" s="432"/>
      <c r="AQ338" s="432"/>
      <c r="AR338" s="433"/>
    </row>
    <row r="340" spans="3:44" ht="18" customHeight="1">
      <c r="C340" s="461" t="s">
        <v>43</v>
      </c>
      <c r="D340" s="451"/>
      <c r="E340" s="451"/>
      <c r="F340" s="451" t="s">
        <v>89</v>
      </c>
      <c r="G340" s="451"/>
      <c r="H340" s="451"/>
      <c r="I340" s="451"/>
      <c r="J340" s="451"/>
      <c r="K340" s="451"/>
      <c r="L340" s="451"/>
      <c r="M340" s="451"/>
      <c r="N340" s="451"/>
      <c r="O340" s="451"/>
      <c r="P340" s="451"/>
      <c r="Q340" s="451"/>
      <c r="R340" s="451"/>
      <c r="S340" s="451" t="s">
        <v>90</v>
      </c>
      <c r="T340" s="451"/>
      <c r="U340" s="451"/>
      <c r="V340" s="451" t="s">
        <v>91</v>
      </c>
      <c r="W340" s="451"/>
      <c r="X340" s="451"/>
      <c r="Y340" s="451" t="s">
        <v>92</v>
      </c>
      <c r="Z340" s="451"/>
      <c r="AA340" s="451"/>
      <c r="AB340" s="451"/>
      <c r="AC340" s="451"/>
      <c r="AD340" s="451"/>
      <c r="AE340" s="451" t="s">
        <v>93</v>
      </c>
      <c r="AF340" s="451"/>
      <c r="AG340" s="451"/>
      <c r="AH340" s="451" t="s">
        <v>94</v>
      </c>
      <c r="AI340" s="451"/>
      <c r="AJ340" s="451"/>
      <c r="AK340" s="451" t="s">
        <v>86</v>
      </c>
      <c r="AL340" s="451"/>
      <c r="AM340" s="451"/>
      <c r="AN340" s="451"/>
      <c r="AO340" s="451" t="s">
        <v>87</v>
      </c>
      <c r="AP340" s="451"/>
      <c r="AQ340" s="451"/>
      <c r="AR340" s="453"/>
    </row>
    <row r="341" spans="3:44" ht="18" customHeight="1">
      <c r="C341" s="462"/>
      <c r="D341" s="452"/>
      <c r="E341" s="452"/>
      <c r="F341" s="452"/>
      <c r="G341" s="452"/>
      <c r="H341" s="452"/>
      <c r="I341" s="452"/>
      <c r="J341" s="452"/>
      <c r="K341" s="452"/>
      <c r="L341" s="452"/>
      <c r="M341" s="452"/>
      <c r="N341" s="452"/>
      <c r="O341" s="452"/>
      <c r="P341" s="452"/>
      <c r="Q341" s="452"/>
      <c r="R341" s="452"/>
      <c r="S341" s="452"/>
      <c r="T341" s="452"/>
      <c r="U341" s="452"/>
      <c r="V341" s="452"/>
      <c r="W341" s="452"/>
      <c r="X341" s="452"/>
      <c r="Y341" s="452"/>
      <c r="Z341" s="452"/>
      <c r="AA341" s="452"/>
      <c r="AB341" s="452"/>
      <c r="AC341" s="452"/>
      <c r="AD341" s="452"/>
      <c r="AE341" s="452"/>
      <c r="AF341" s="452"/>
      <c r="AG341" s="452"/>
      <c r="AH341" s="452"/>
      <c r="AI341" s="452"/>
      <c r="AJ341" s="452"/>
      <c r="AK341" s="452"/>
      <c r="AL341" s="452"/>
      <c r="AM341" s="452"/>
      <c r="AN341" s="452"/>
      <c r="AO341" s="452"/>
      <c r="AP341" s="452"/>
      <c r="AQ341" s="452"/>
      <c r="AR341" s="454"/>
    </row>
    <row r="342" spans="3:44" ht="18" customHeight="1">
      <c r="C342" s="455"/>
      <c r="D342" s="456"/>
      <c r="E342" s="456"/>
      <c r="F342" s="446"/>
      <c r="G342" s="446"/>
      <c r="H342" s="446"/>
      <c r="I342" s="446"/>
      <c r="J342" s="446"/>
      <c r="K342" s="446"/>
      <c r="L342" s="446"/>
      <c r="M342" s="446"/>
      <c r="N342" s="446"/>
      <c r="O342" s="446"/>
      <c r="P342" s="446"/>
      <c r="Q342" s="446"/>
      <c r="R342" s="446"/>
      <c r="S342" s="458"/>
      <c r="T342" s="458"/>
      <c r="U342" s="458"/>
      <c r="V342" s="458"/>
      <c r="W342" s="458"/>
      <c r="X342" s="458"/>
      <c r="Y342" s="545"/>
      <c r="Z342" s="545"/>
      <c r="AA342" s="545"/>
      <c r="AB342" s="545"/>
      <c r="AC342" s="545"/>
      <c r="AD342" s="545"/>
      <c r="AE342" s="425"/>
      <c r="AF342" s="425"/>
      <c r="AG342" s="425"/>
      <c r="AH342" s="449"/>
      <c r="AI342" s="449"/>
      <c r="AJ342" s="449"/>
      <c r="AK342" s="460"/>
      <c r="AL342" s="460"/>
      <c r="AM342" s="460"/>
      <c r="AN342" s="460"/>
      <c r="AO342" s="449"/>
      <c r="AP342" s="449"/>
      <c r="AQ342" s="449"/>
      <c r="AR342" s="450"/>
    </row>
    <row r="343" spans="3:44" ht="18" customHeight="1">
      <c r="C343" s="444"/>
      <c r="D343" s="445"/>
      <c r="E343" s="445"/>
      <c r="F343" s="446"/>
      <c r="G343" s="446"/>
      <c r="H343" s="446"/>
      <c r="I343" s="446"/>
      <c r="J343" s="446"/>
      <c r="K343" s="446"/>
      <c r="L343" s="446"/>
      <c r="M343" s="446"/>
      <c r="N343" s="446"/>
      <c r="O343" s="446"/>
      <c r="P343" s="446"/>
      <c r="Q343" s="446"/>
      <c r="R343" s="446"/>
      <c r="S343" s="447"/>
      <c r="T343" s="447"/>
      <c r="U343" s="447"/>
      <c r="V343" s="447"/>
      <c r="W343" s="447"/>
      <c r="X343" s="447"/>
      <c r="Y343" s="448"/>
      <c r="Z343" s="448"/>
      <c r="AA343" s="448"/>
      <c r="AB343" s="448"/>
      <c r="AC343" s="448"/>
      <c r="AD343" s="448"/>
      <c r="AE343" s="425"/>
      <c r="AF343" s="425"/>
      <c r="AG343" s="425"/>
      <c r="AH343" s="425"/>
      <c r="AI343" s="425"/>
      <c r="AJ343" s="425"/>
      <c r="AK343" s="424"/>
      <c r="AL343" s="424"/>
      <c r="AM343" s="424"/>
      <c r="AN343" s="424"/>
      <c r="AO343" s="425"/>
      <c r="AP343" s="425"/>
      <c r="AQ343" s="425"/>
      <c r="AR343" s="426"/>
    </row>
    <row r="344" spans="3:44" ht="18" customHeight="1">
      <c r="C344" s="444"/>
      <c r="D344" s="445"/>
      <c r="E344" s="445"/>
      <c r="F344" s="446"/>
      <c r="G344" s="446"/>
      <c r="H344" s="446"/>
      <c r="I344" s="446"/>
      <c r="J344" s="446"/>
      <c r="K344" s="446"/>
      <c r="L344" s="446"/>
      <c r="M344" s="446"/>
      <c r="N344" s="446"/>
      <c r="O344" s="446"/>
      <c r="P344" s="446"/>
      <c r="Q344" s="446"/>
      <c r="R344" s="446"/>
      <c r="S344" s="447"/>
      <c r="T344" s="447"/>
      <c r="U344" s="447"/>
      <c r="V344" s="447"/>
      <c r="W344" s="447"/>
      <c r="X344" s="447"/>
      <c r="Y344" s="448"/>
      <c r="Z344" s="448"/>
      <c r="AA344" s="448"/>
      <c r="AB344" s="448"/>
      <c r="AC344" s="448"/>
      <c r="AD344" s="448"/>
      <c r="AE344" s="425"/>
      <c r="AF344" s="425"/>
      <c r="AG344" s="425"/>
      <c r="AH344" s="425"/>
      <c r="AI344" s="425"/>
      <c r="AJ344" s="425"/>
      <c r="AK344" s="424"/>
      <c r="AL344" s="424"/>
      <c r="AM344" s="424"/>
      <c r="AN344" s="424"/>
      <c r="AO344" s="425"/>
      <c r="AP344" s="425"/>
      <c r="AQ344" s="425"/>
      <c r="AR344" s="426"/>
    </row>
    <row r="345" spans="3:44" ht="18" customHeight="1">
      <c r="C345" s="444"/>
      <c r="D345" s="445"/>
      <c r="E345" s="445"/>
      <c r="F345" s="446"/>
      <c r="G345" s="446"/>
      <c r="H345" s="446"/>
      <c r="I345" s="446"/>
      <c r="J345" s="446"/>
      <c r="K345" s="446"/>
      <c r="L345" s="446"/>
      <c r="M345" s="446"/>
      <c r="N345" s="446"/>
      <c r="O345" s="446"/>
      <c r="P345" s="446"/>
      <c r="Q345" s="446"/>
      <c r="R345" s="446"/>
      <c r="S345" s="447"/>
      <c r="T345" s="447"/>
      <c r="U345" s="447"/>
      <c r="V345" s="447"/>
      <c r="W345" s="447"/>
      <c r="X345" s="447"/>
      <c r="Y345" s="448"/>
      <c r="Z345" s="448"/>
      <c r="AA345" s="448"/>
      <c r="AB345" s="448"/>
      <c r="AC345" s="448"/>
      <c r="AD345" s="448"/>
      <c r="AE345" s="425"/>
      <c r="AF345" s="425"/>
      <c r="AG345" s="425"/>
      <c r="AH345" s="425"/>
      <c r="AI345" s="425"/>
      <c r="AJ345" s="425"/>
      <c r="AK345" s="424"/>
      <c r="AL345" s="424"/>
      <c r="AM345" s="424"/>
      <c r="AN345" s="424"/>
      <c r="AO345" s="425"/>
      <c r="AP345" s="425"/>
      <c r="AQ345" s="425"/>
      <c r="AR345" s="426"/>
    </row>
    <row r="346" spans="3:44" ht="18" customHeight="1">
      <c r="C346" s="444"/>
      <c r="D346" s="445"/>
      <c r="E346" s="445"/>
      <c r="F346" s="446"/>
      <c r="G346" s="446"/>
      <c r="H346" s="446"/>
      <c r="I346" s="446"/>
      <c r="J346" s="446"/>
      <c r="K346" s="446"/>
      <c r="L346" s="446"/>
      <c r="M346" s="446"/>
      <c r="N346" s="446"/>
      <c r="O346" s="446"/>
      <c r="P346" s="446"/>
      <c r="Q346" s="446"/>
      <c r="R346" s="446"/>
      <c r="S346" s="447"/>
      <c r="T346" s="447"/>
      <c r="U346" s="447"/>
      <c r="V346" s="447"/>
      <c r="W346" s="447"/>
      <c r="X346" s="447"/>
      <c r="Y346" s="448"/>
      <c r="Z346" s="448"/>
      <c r="AA346" s="448"/>
      <c r="AB346" s="448"/>
      <c r="AC346" s="448"/>
      <c r="AD346" s="448"/>
      <c r="AE346" s="425"/>
      <c r="AF346" s="425"/>
      <c r="AG346" s="425"/>
      <c r="AH346" s="425"/>
      <c r="AI346" s="425"/>
      <c r="AJ346" s="425"/>
      <c r="AK346" s="424"/>
      <c r="AL346" s="424"/>
      <c r="AM346" s="424"/>
      <c r="AN346" s="424"/>
      <c r="AO346" s="425"/>
      <c r="AP346" s="425"/>
      <c r="AQ346" s="425"/>
      <c r="AR346" s="426"/>
    </row>
    <row r="347" spans="3:44" ht="18" customHeight="1">
      <c r="C347" s="444"/>
      <c r="D347" s="445"/>
      <c r="E347" s="445"/>
      <c r="F347" s="446"/>
      <c r="G347" s="446"/>
      <c r="H347" s="446"/>
      <c r="I347" s="446"/>
      <c r="J347" s="446"/>
      <c r="K347" s="446"/>
      <c r="L347" s="446"/>
      <c r="M347" s="446"/>
      <c r="N347" s="446"/>
      <c r="O347" s="446"/>
      <c r="P347" s="446"/>
      <c r="Q347" s="446"/>
      <c r="R347" s="446"/>
      <c r="S347" s="447"/>
      <c r="T347" s="447"/>
      <c r="U347" s="447"/>
      <c r="V347" s="447"/>
      <c r="W347" s="447"/>
      <c r="X347" s="447"/>
      <c r="Y347" s="448"/>
      <c r="Z347" s="448"/>
      <c r="AA347" s="448"/>
      <c r="AB347" s="448"/>
      <c r="AC347" s="448"/>
      <c r="AD347" s="448"/>
      <c r="AE347" s="425"/>
      <c r="AF347" s="425"/>
      <c r="AG347" s="425"/>
      <c r="AH347" s="425"/>
      <c r="AI347" s="425"/>
      <c r="AJ347" s="425"/>
      <c r="AK347" s="424"/>
      <c r="AL347" s="424"/>
      <c r="AM347" s="424"/>
      <c r="AN347" s="424"/>
      <c r="AO347" s="425"/>
      <c r="AP347" s="425"/>
      <c r="AQ347" s="425"/>
      <c r="AR347" s="426"/>
    </row>
    <row r="348" spans="3:44" ht="18" customHeight="1">
      <c r="C348" s="444"/>
      <c r="D348" s="445"/>
      <c r="E348" s="445"/>
      <c r="F348" s="446"/>
      <c r="G348" s="446"/>
      <c r="H348" s="446"/>
      <c r="I348" s="446"/>
      <c r="J348" s="446"/>
      <c r="K348" s="446"/>
      <c r="L348" s="446"/>
      <c r="M348" s="446"/>
      <c r="N348" s="446"/>
      <c r="O348" s="446"/>
      <c r="P348" s="446"/>
      <c r="Q348" s="446"/>
      <c r="R348" s="446"/>
      <c r="S348" s="447"/>
      <c r="T348" s="447"/>
      <c r="U348" s="447"/>
      <c r="V348" s="447"/>
      <c r="W348" s="447"/>
      <c r="X348" s="447"/>
      <c r="Y348" s="448"/>
      <c r="Z348" s="448"/>
      <c r="AA348" s="448"/>
      <c r="AB348" s="448"/>
      <c r="AC348" s="448"/>
      <c r="AD348" s="448"/>
      <c r="AE348" s="425"/>
      <c r="AF348" s="425"/>
      <c r="AG348" s="425"/>
      <c r="AH348" s="425"/>
      <c r="AI348" s="425"/>
      <c r="AJ348" s="425"/>
      <c r="AK348" s="424"/>
      <c r="AL348" s="424"/>
      <c r="AM348" s="424"/>
      <c r="AN348" s="424"/>
      <c r="AO348" s="425"/>
      <c r="AP348" s="425"/>
      <c r="AQ348" s="425"/>
      <c r="AR348" s="426"/>
    </row>
    <row r="349" spans="3:44" ht="18" customHeight="1">
      <c r="C349" s="444"/>
      <c r="D349" s="445"/>
      <c r="E349" s="445"/>
      <c r="F349" s="446"/>
      <c r="G349" s="446"/>
      <c r="H349" s="446"/>
      <c r="I349" s="446"/>
      <c r="J349" s="446"/>
      <c r="K349" s="446"/>
      <c r="L349" s="446"/>
      <c r="M349" s="446"/>
      <c r="N349" s="446"/>
      <c r="O349" s="446"/>
      <c r="P349" s="446"/>
      <c r="Q349" s="446"/>
      <c r="R349" s="446"/>
      <c r="S349" s="447"/>
      <c r="T349" s="447"/>
      <c r="U349" s="447"/>
      <c r="V349" s="447"/>
      <c r="W349" s="447"/>
      <c r="X349" s="447"/>
      <c r="Y349" s="448"/>
      <c r="Z349" s="448"/>
      <c r="AA349" s="448"/>
      <c r="AB349" s="448"/>
      <c r="AC349" s="448"/>
      <c r="AD349" s="448"/>
      <c r="AE349" s="425"/>
      <c r="AF349" s="425"/>
      <c r="AG349" s="425"/>
      <c r="AH349" s="425"/>
      <c r="AI349" s="425"/>
      <c r="AJ349" s="425"/>
      <c r="AK349" s="424"/>
      <c r="AL349" s="424"/>
      <c r="AM349" s="424"/>
      <c r="AN349" s="424"/>
      <c r="AO349" s="425"/>
      <c r="AP349" s="425"/>
      <c r="AQ349" s="425"/>
      <c r="AR349" s="426"/>
    </row>
    <row r="350" spans="3:44" ht="18" customHeight="1">
      <c r="C350" s="427"/>
      <c r="D350" s="428"/>
      <c r="E350" s="428"/>
      <c r="F350" s="428"/>
      <c r="G350" s="428"/>
      <c r="H350" s="428"/>
      <c r="I350" s="428"/>
      <c r="J350" s="428"/>
      <c r="K350" s="428"/>
      <c r="L350" s="428"/>
      <c r="M350" s="428"/>
      <c r="N350" s="428"/>
      <c r="O350" s="428"/>
      <c r="P350" s="428"/>
      <c r="Q350" s="428"/>
      <c r="R350" s="428"/>
      <c r="S350" s="428"/>
      <c r="T350" s="428"/>
      <c r="U350" s="428"/>
      <c r="V350" s="428"/>
      <c r="W350" s="428"/>
      <c r="X350" s="429"/>
      <c r="Y350" s="430" t="s">
        <v>95</v>
      </c>
      <c r="Z350" s="431"/>
      <c r="AA350" s="431"/>
      <c r="AB350" s="431"/>
      <c r="AC350" s="431"/>
      <c r="AD350" s="431"/>
      <c r="AE350" s="431"/>
      <c r="AF350" s="431"/>
      <c r="AG350" s="431"/>
      <c r="AH350" s="431"/>
      <c r="AI350" s="431"/>
      <c r="AJ350" s="431"/>
      <c r="AK350" s="431"/>
      <c r="AL350" s="431"/>
      <c r="AM350" s="431"/>
      <c r="AN350" s="431"/>
      <c r="AO350" s="432">
        <f>SUM(AO342:AR349)</f>
        <v>0</v>
      </c>
      <c r="AP350" s="432"/>
      <c r="AQ350" s="432"/>
      <c r="AR350" s="433"/>
    </row>
    <row r="352" spans="3:44" ht="18" customHeight="1">
      <c r="C352" s="434"/>
      <c r="D352" s="434"/>
      <c r="E352" s="434"/>
      <c r="F352" s="434"/>
      <c r="G352" s="434"/>
      <c r="H352" s="434"/>
      <c r="I352" s="434"/>
      <c r="J352" s="434"/>
      <c r="K352" s="434"/>
      <c r="L352" s="434"/>
      <c r="M352" s="434"/>
      <c r="N352" s="434"/>
      <c r="O352" s="434"/>
      <c r="P352" s="434"/>
      <c r="Q352" s="434"/>
      <c r="R352" s="434"/>
      <c r="S352" s="434"/>
      <c r="T352" s="434"/>
      <c r="U352" s="434"/>
      <c r="V352" s="434"/>
      <c r="W352" s="434"/>
      <c r="X352" s="434"/>
      <c r="Y352" s="435" t="s">
        <v>96</v>
      </c>
      <c r="Z352" s="436"/>
      <c r="AA352" s="436"/>
      <c r="AB352" s="436"/>
      <c r="AC352" s="436"/>
      <c r="AD352" s="436"/>
      <c r="AE352" s="436"/>
      <c r="AF352" s="436"/>
      <c r="AG352" s="436"/>
      <c r="AH352" s="436"/>
      <c r="AI352" s="436"/>
      <c r="AJ352" s="436"/>
      <c r="AK352" s="436"/>
      <c r="AL352" s="436"/>
      <c r="AM352" s="436"/>
      <c r="AN352" s="436"/>
      <c r="AO352" s="437">
        <f>AO326+AO338+AO350</f>
        <v>578.51</v>
      </c>
      <c r="AP352" s="437"/>
      <c r="AQ352" s="437"/>
      <c r="AR352" s="438"/>
    </row>
    <row r="353" spans="1:44" ht="18" customHeight="1">
      <c r="C353" s="434"/>
      <c r="D353" s="434"/>
      <c r="E353" s="434"/>
      <c r="F353" s="434"/>
      <c r="G353" s="434"/>
      <c r="H353" s="434"/>
      <c r="I353" s="434"/>
      <c r="J353" s="434"/>
      <c r="K353" s="434"/>
      <c r="L353" s="434"/>
      <c r="M353" s="434"/>
      <c r="N353" s="434"/>
      <c r="O353" s="434"/>
      <c r="P353" s="434"/>
      <c r="Q353" s="434"/>
      <c r="R353" s="434"/>
      <c r="S353" s="434"/>
      <c r="T353" s="434"/>
      <c r="U353" s="434"/>
      <c r="V353" s="434"/>
      <c r="W353" s="434"/>
      <c r="X353" s="434"/>
      <c r="Y353" s="439" t="s">
        <v>97</v>
      </c>
      <c r="Z353" s="440"/>
      <c r="AA353" s="440"/>
      <c r="AB353" s="440"/>
      <c r="AC353" s="440"/>
      <c r="AD353" s="440"/>
      <c r="AE353" s="440"/>
      <c r="AF353" s="440"/>
      <c r="AG353" s="441"/>
      <c r="AH353" s="442">
        <v>0.2031</v>
      </c>
      <c r="AI353" s="442"/>
      <c r="AJ353" s="442"/>
      <c r="AK353" s="442"/>
      <c r="AL353" s="442"/>
      <c r="AM353" s="442"/>
      <c r="AN353" s="443"/>
      <c r="AO353" s="413">
        <f>ROUND(AO352*AH353,2)</f>
        <v>117.5</v>
      </c>
      <c r="AP353" s="413"/>
      <c r="AQ353" s="413"/>
      <c r="AR353" s="414"/>
    </row>
    <row r="354" spans="1:44" ht="18" customHeight="1">
      <c r="A354" s="415" t="s">
        <v>931</v>
      </c>
      <c r="B354" s="415"/>
      <c r="C354" s="434"/>
      <c r="D354" s="434"/>
      <c r="E354" s="434"/>
      <c r="F354" s="434"/>
      <c r="G354" s="434"/>
      <c r="H354" s="434"/>
      <c r="I354" s="434"/>
      <c r="J354" s="434"/>
      <c r="K354" s="434"/>
      <c r="L354" s="434"/>
      <c r="M354" s="434"/>
      <c r="N354" s="434"/>
      <c r="O354" s="434"/>
      <c r="P354" s="434"/>
      <c r="Q354" s="434"/>
      <c r="R354" s="434"/>
      <c r="S354" s="434"/>
      <c r="T354" s="434"/>
      <c r="U354" s="434"/>
      <c r="V354" s="434"/>
      <c r="W354" s="434"/>
      <c r="X354" s="434"/>
      <c r="Y354" s="416" t="s">
        <v>98</v>
      </c>
      <c r="Z354" s="417"/>
      <c r="AA354" s="417"/>
      <c r="AB354" s="417"/>
      <c r="AC354" s="417"/>
      <c r="AD354" s="417"/>
      <c r="AE354" s="417"/>
      <c r="AF354" s="417"/>
      <c r="AG354" s="417"/>
      <c r="AH354" s="417"/>
      <c r="AI354" s="417"/>
      <c r="AJ354" s="417"/>
      <c r="AK354" s="417"/>
      <c r="AL354" s="417"/>
      <c r="AM354" s="417"/>
      <c r="AN354" s="417"/>
      <c r="AO354" s="418">
        <f>SUM(AO352:AR353)</f>
        <v>696.01</v>
      </c>
      <c r="AP354" s="418"/>
      <c r="AQ354" s="418"/>
      <c r="AR354" s="419"/>
    </row>
    <row r="356" spans="1:44" ht="18" customHeight="1">
      <c r="C356" s="420" t="s">
        <v>99</v>
      </c>
      <c r="D356" s="421"/>
      <c r="E356" s="421"/>
      <c r="F356" s="421"/>
      <c r="G356" s="421"/>
      <c r="H356" s="421"/>
      <c r="I356" s="422"/>
      <c r="J356" s="422"/>
      <c r="K356" s="422"/>
      <c r="L356" s="422"/>
      <c r="M356" s="422"/>
      <c r="N356" s="422"/>
      <c r="O356" s="422"/>
      <c r="P356" s="422"/>
      <c r="Q356" s="422"/>
      <c r="R356" s="422"/>
      <c r="S356" s="422"/>
      <c r="T356" s="422"/>
      <c r="U356" s="422"/>
      <c r="V356" s="422"/>
      <c r="W356" s="422"/>
      <c r="X356" s="422"/>
      <c r="Y356" s="422"/>
      <c r="Z356" s="422"/>
      <c r="AA356" s="422"/>
      <c r="AB356" s="422"/>
      <c r="AC356" s="422"/>
      <c r="AD356" s="422"/>
      <c r="AE356" s="422"/>
      <c r="AF356" s="422"/>
      <c r="AG356" s="422"/>
      <c r="AH356" s="422"/>
      <c r="AI356" s="422"/>
      <c r="AJ356" s="422"/>
      <c r="AK356" s="422"/>
      <c r="AL356" s="422"/>
      <c r="AM356" s="422"/>
      <c r="AN356" s="422"/>
      <c r="AO356" s="422"/>
      <c r="AP356" s="422"/>
      <c r="AQ356" s="422"/>
      <c r="AR356" s="423"/>
    </row>
    <row r="357" spans="1:44" ht="18" customHeight="1">
      <c r="C357" s="411"/>
      <c r="D357" s="412"/>
      <c r="E357" s="412"/>
      <c r="F357" s="412"/>
      <c r="G357" s="412"/>
      <c r="H357" s="412"/>
      <c r="I357" s="409"/>
      <c r="J357" s="409"/>
      <c r="K357" s="409"/>
      <c r="L357" s="409"/>
      <c r="M357" s="409"/>
      <c r="N357" s="409"/>
      <c r="O357" s="409"/>
      <c r="P357" s="409"/>
      <c r="Q357" s="409"/>
      <c r="R357" s="409"/>
      <c r="S357" s="409"/>
      <c r="T357" s="409"/>
      <c r="U357" s="409"/>
      <c r="V357" s="409"/>
      <c r="W357" s="409"/>
      <c r="X357" s="409"/>
      <c r="Y357" s="409"/>
      <c r="Z357" s="409"/>
      <c r="AA357" s="409"/>
      <c r="AB357" s="409"/>
      <c r="AC357" s="409"/>
      <c r="AD357" s="409"/>
      <c r="AE357" s="409"/>
      <c r="AF357" s="409"/>
      <c r="AG357" s="409"/>
      <c r="AH357" s="409"/>
      <c r="AI357" s="409"/>
      <c r="AJ357" s="409"/>
      <c r="AK357" s="409"/>
      <c r="AL357" s="409"/>
      <c r="AM357" s="409"/>
      <c r="AN357" s="409"/>
      <c r="AO357" s="409"/>
      <c r="AP357" s="409"/>
      <c r="AQ357" s="409"/>
      <c r="AR357" s="410"/>
    </row>
    <row r="358" spans="1:44" ht="18" customHeight="1">
      <c r="C358" s="411"/>
      <c r="D358" s="412"/>
      <c r="E358" s="412"/>
      <c r="F358" s="412"/>
      <c r="G358" s="412"/>
      <c r="H358" s="412"/>
      <c r="I358" s="409"/>
      <c r="J358" s="409"/>
      <c r="K358" s="409"/>
      <c r="L358" s="409"/>
      <c r="M358" s="409"/>
      <c r="N358" s="409"/>
      <c r="O358" s="409"/>
      <c r="P358" s="409"/>
      <c r="Q358" s="409"/>
      <c r="R358" s="409"/>
      <c r="S358" s="409"/>
      <c r="T358" s="409"/>
      <c r="U358" s="409"/>
      <c r="V358" s="409"/>
      <c r="W358" s="409"/>
      <c r="X358" s="409"/>
      <c r="Y358" s="409"/>
      <c r="Z358" s="409"/>
      <c r="AA358" s="409"/>
      <c r="AB358" s="409"/>
      <c r="AC358" s="409"/>
      <c r="AD358" s="409"/>
      <c r="AE358" s="409"/>
      <c r="AF358" s="409"/>
      <c r="AG358" s="409"/>
      <c r="AH358" s="409"/>
      <c r="AI358" s="409"/>
      <c r="AJ358" s="409"/>
      <c r="AK358" s="409"/>
      <c r="AL358" s="409"/>
      <c r="AM358" s="409"/>
      <c r="AN358" s="409"/>
      <c r="AO358" s="409"/>
      <c r="AP358" s="409"/>
      <c r="AQ358" s="409"/>
      <c r="AR358" s="410"/>
    </row>
    <row r="359" spans="1:44" ht="18" customHeight="1">
      <c r="C359" s="411"/>
      <c r="D359" s="412"/>
      <c r="E359" s="412"/>
      <c r="F359" s="412"/>
      <c r="G359" s="412"/>
      <c r="H359" s="412"/>
      <c r="I359" s="409"/>
      <c r="J359" s="409"/>
      <c r="K359" s="409"/>
      <c r="L359" s="409"/>
      <c r="M359" s="409"/>
      <c r="N359" s="409"/>
      <c r="O359" s="409"/>
      <c r="P359" s="409"/>
      <c r="Q359" s="409"/>
      <c r="R359" s="409"/>
      <c r="S359" s="409"/>
      <c r="T359" s="409"/>
      <c r="U359" s="409"/>
      <c r="V359" s="409"/>
      <c r="W359" s="409"/>
      <c r="X359" s="409"/>
      <c r="Y359" s="409"/>
      <c r="Z359" s="409"/>
      <c r="AA359" s="409"/>
      <c r="AB359" s="409"/>
      <c r="AC359" s="409"/>
      <c r="AD359" s="409"/>
      <c r="AE359" s="409"/>
      <c r="AF359" s="409"/>
      <c r="AG359" s="409"/>
      <c r="AH359" s="409"/>
      <c r="AI359" s="409"/>
      <c r="AJ359" s="409"/>
      <c r="AK359" s="409"/>
      <c r="AL359" s="409"/>
      <c r="AM359" s="409"/>
      <c r="AN359" s="409"/>
      <c r="AO359" s="409"/>
      <c r="AP359" s="409"/>
      <c r="AQ359" s="409"/>
      <c r="AR359" s="410"/>
    </row>
    <row r="360" spans="1:44" ht="18" customHeight="1">
      <c r="C360" s="411"/>
      <c r="D360" s="412"/>
      <c r="E360" s="412"/>
      <c r="F360" s="412"/>
      <c r="G360" s="412"/>
      <c r="H360" s="412"/>
      <c r="I360" s="409"/>
      <c r="J360" s="409"/>
      <c r="K360" s="409"/>
      <c r="L360" s="409"/>
      <c r="M360" s="409"/>
      <c r="N360" s="409"/>
      <c r="O360" s="409"/>
      <c r="P360" s="409"/>
      <c r="Q360" s="409"/>
      <c r="R360" s="409"/>
      <c r="S360" s="409"/>
      <c r="T360" s="409"/>
      <c r="U360" s="409"/>
      <c r="V360" s="409"/>
      <c r="W360" s="409"/>
      <c r="X360" s="409"/>
      <c r="Y360" s="409"/>
      <c r="Z360" s="409"/>
      <c r="AA360" s="409"/>
      <c r="AB360" s="409"/>
      <c r="AC360" s="409"/>
      <c r="AD360" s="409"/>
      <c r="AE360" s="409"/>
      <c r="AF360" s="409"/>
      <c r="AG360" s="409"/>
      <c r="AH360" s="409"/>
      <c r="AI360" s="409"/>
      <c r="AJ360" s="409"/>
      <c r="AK360" s="409"/>
      <c r="AL360" s="409"/>
      <c r="AM360" s="409"/>
      <c r="AN360" s="409"/>
      <c r="AO360" s="409"/>
      <c r="AP360" s="409"/>
      <c r="AQ360" s="409"/>
      <c r="AR360" s="410"/>
    </row>
    <row r="361" spans="1:44" ht="18" customHeight="1">
      <c r="C361" s="385"/>
      <c r="D361" s="386"/>
      <c r="E361" s="386"/>
      <c r="F361" s="386"/>
      <c r="G361" s="386"/>
      <c r="H361" s="386"/>
      <c r="I361" s="387"/>
      <c r="J361" s="387"/>
      <c r="K361" s="387"/>
      <c r="L361" s="387"/>
      <c r="M361" s="387"/>
      <c r="N361" s="387"/>
      <c r="O361" s="387"/>
      <c r="P361" s="387"/>
      <c r="Q361" s="387"/>
      <c r="R361" s="387"/>
      <c r="S361" s="387"/>
      <c r="T361" s="387"/>
      <c r="U361" s="387"/>
      <c r="V361" s="387"/>
      <c r="W361" s="387"/>
      <c r="X361" s="387"/>
      <c r="Y361" s="387"/>
      <c r="Z361" s="387"/>
      <c r="AA361" s="387"/>
      <c r="AB361" s="387"/>
      <c r="AC361" s="387"/>
      <c r="AD361" s="387"/>
      <c r="AE361" s="387"/>
      <c r="AF361" s="387"/>
      <c r="AG361" s="387"/>
      <c r="AH361" s="387"/>
      <c r="AI361" s="387"/>
      <c r="AJ361" s="387"/>
      <c r="AK361" s="387"/>
      <c r="AL361" s="387"/>
      <c r="AM361" s="387"/>
      <c r="AN361" s="387"/>
      <c r="AO361" s="387"/>
      <c r="AP361" s="387"/>
      <c r="AQ361" s="387"/>
      <c r="AR361" s="388"/>
    </row>
    <row r="363" spans="1:44" ht="18" customHeight="1">
      <c r="C363" s="389" t="s">
        <v>100</v>
      </c>
      <c r="D363" s="390"/>
      <c r="E363" s="390"/>
      <c r="F363" s="390"/>
      <c r="G363" s="390"/>
      <c r="H363" s="390"/>
      <c r="I363" s="390"/>
      <c r="J363" s="390"/>
      <c r="K363" s="390"/>
      <c r="L363" s="390"/>
      <c r="M363" s="390"/>
      <c r="N363" s="390"/>
      <c r="O363" s="390"/>
      <c r="P363" s="390"/>
      <c r="Q363" s="390"/>
      <c r="R363" s="390"/>
      <c r="S363" s="390"/>
      <c r="T363" s="390"/>
      <c r="U363" s="390"/>
      <c r="V363" s="390"/>
      <c r="W363" s="390"/>
      <c r="X363" s="390"/>
      <c r="Y363" s="390"/>
      <c r="Z363" s="390"/>
      <c r="AA363" s="391"/>
      <c r="AB363" s="392" t="str">
        <f>[4]C.UNIT.SERV.!$E$5</f>
        <v>DATA-BASE:      MAIO/2011/PR</v>
      </c>
      <c r="AC363" s="393"/>
      <c r="AD363" s="393"/>
      <c r="AE363" s="393"/>
      <c r="AF363" s="393"/>
      <c r="AG363" s="393"/>
      <c r="AH363" s="393"/>
      <c r="AI363" s="394"/>
      <c r="AJ363" s="392"/>
      <c r="AK363" s="393"/>
      <c r="AL363" s="393"/>
      <c r="AM363" s="393"/>
      <c r="AN363" s="393"/>
      <c r="AO363" s="393"/>
      <c r="AP363" s="393"/>
      <c r="AQ363" s="393"/>
      <c r="AR363" s="401"/>
    </row>
    <row r="364" spans="1:44" ht="18" customHeight="1">
      <c r="C364" s="404" t="s">
        <v>101</v>
      </c>
      <c r="D364" s="405"/>
      <c r="E364" s="405"/>
      <c r="F364" s="405"/>
      <c r="G364" s="405" t="s">
        <v>283</v>
      </c>
      <c r="H364" s="405"/>
      <c r="I364" s="405"/>
      <c r="J364" s="405"/>
      <c r="K364" s="405"/>
      <c r="L364" s="405"/>
      <c r="M364" s="405"/>
      <c r="N364" s="405"/>
      <c r="O364" s="405"/>
      <c r="P364" s="405"/>
      <c r="Q364" s="405"/>
      <c r="R364" s="405"/>
      <c r="S364" s="405"/>
      <c r="T364" s="405"/>
      <c r="U364" s="405"/>
      <c r="V364" s="405"/>
      <c r="W364" s="405"/>
      <c r="X364" s="405"/>
      <c r="Y364" s="405"/>
      <c r="Z364" s="405"/>
      <c r="AA364" s="406"/>
      <c r="AB364" s="395"/>
      <c r="AC364" s="396"/>
      <c r="AD364" s="396"/>
      <c r="AE364" s="396"/>
      <c r="AF364" s="396"/>
      <c r="AG364" s="396"/>
      <c r="AH364" s="396"/>
      <c r="AI364" s="397"/>
      <c r="AJ364" s="395"/>
      <c r="AK364" s="396"/>
      <c r="AL364" s="396"/>
      <c r="AM364" s="396"/>
      <c r="AN364" s="396"/>
      <c r="AO364" s="396"/>
      <c r="AP364" s="396"/>
      <c r="AQ364" s="396"/>
      <c r="AR364" s="402"/>
    </row>
    <row r="365" spans="1:44" ht="18" customHeight="1">
      <c r="C365" s="404" t="s">
        <v>102</v>
      </c>
      <c r="D365" s="405"/>
      <c r="E365" s="405"/>
      <c r="F365" s="405"/>
      <c r="G365" s="405"/>
      <c r="H365" s="405"/>
      <c r="I365" s="405"/>
      <c r="J365" s="405"/>
      <c r="K365" s="405"/>
      <c r="L365" s="405"/>
      <c r="M365" s="405"/>
      <c r="N365" s="405"/>
      <c r="O365" s="405"/>
      <c r="P365" s="405"/>
      <c r="Q365" s="405"/>
      <c r="R365" s="405"/>
      <c r="S365" s="405"/>
      <c r="T365" s="405"/>
      <c r="U365" s="405"/>
      <c r="V365" s="405"/>
      <c r="W365" s="405"/>
      <c r="X365" s="405"/>
      <c r="Y365" s="405"/>
      <c r="Z365" s="405"/>
      <c r="AA365" s="406"/>
      <c r="AB365" s="395"/>
      <c r="AC365" s="396"/>
      <c r="AD365" s="396"/>
      <c r="AE365" s="396"/>
      <c r="AF365" s="396"/>
      <c r="AG365" s="396"/>
      <c r="AH365" s="396"/>
      <c r="AI365" s="397"/>
      <c r="AJ365" s="395"/>
      <c r="AK365" s="396"/>
      <c r="AL365" s="396"/>
      <c r="AM365" s="396"/>
      <c r="AN365" s="396"/>
      <c r="AO365" s="396"/>
      <c r="AP365" s="396"/>
      <c r="AQ365" s="396"/>
      <c r="AR365" s="402"/>
    </row>
    <row r="366" spans="1:44" ht="18" customHeight="1">
      <c r="C366" s="407"/>
      <c r="D366" s="408"/>
      <c r="E366" s="408"/>
      <c r="F366" s="408"/>
      <c r="G366" s="408"/>
      <c r="H366" s="408"/>
      <c r="I366" s="408"/>
      <c r="J366" s="408"/>
      <c r="K366" s="408"/>
      <c r="L366" s="408"/>
      <c r="M366" s="408"/>
      <c r="N366" s="408"/>
      <c r="O366" s="408"/>
      <c r="P366" s="408"/>
      <c r="Q366" s="408"/>
      <c r="R366" s="408"/>
      <c r="S366" s="408"/>
      <c r="T366" s="408"/>
      <c r="U366" s="408"/>
      <c r="V366" s="408"/>
      <c r="W366" s="408"/>
      <c r="X366" s="408"/>
      <c r="Y366" s="408"/>
      <c r="Z366" s="408"/>
      <c r="AA366" s="408"/>
      <c r="AB366" s="398"/>
      <c r="AC366" s="399"/>
      <c r="AD366" s="399"/>
      <c r="AE366" s="399"/>
      <c r="AF366" s="399"/>
      <c r="AG366" s="399"/>
      <c r="AH366" s="399"/>
      <c r="AI366" s="400"/>
      <c r="AJ366" s="398"/>
      <c r="AK366" s="399"/>
      <c r="AL366" s="399"/>
      <c r="AM366" s="399"/>
      <c r="AN366" s="399"/>
      <c r="AO366" s="399"/>
      <c r="AP366" s="399"/>
      <c r="AQ366" s="399"/>
      <c r="AR366" s="403"/>
    </row>
    <row r="368" spans="1:44" ht="18" customHeight="1">
      <c r="C368" s="496" t="s">
        <v>64</v>
      </c>
      <c r="D368" s="497"/>
      <c r="E368" s="497"/>
      <c r="F368" s="497"/>
      <c r="G368" s="497"/>
      <c r="H368" s="497"/>
      <c r="I368" s="497"/>
      <c r="J368" s="497"/>
      <c r="K368" s="497"/>
      <c r="L368" s="497"/>
      <c r="M368" s="497"/>
      <c r="N368" s="497"/>
      <c r="O368" s="497"/>
      <c r="P368" s="497"/>
      <c r="Q368" s="497"/>
      <c r="R368" s="497"/>
      <c r="S368" s="497"/>
      <c r="T368" s="497"/>
      <c r="U368" s="497"/>
      <c r="V368" s="497"/>
      <c r="W368" s="497"/>
      <c r="X368" s="497"/>
      <c r="Y368" s="497"/>
      <c r="Z368" s="497"/>
      <c r="AA368" s="497"/>
      <c r="AB368" s="497"/>
      <c r="AC368" s="497"/>
      <c r="AD368" s="497"/>
      <c r="AE368" s="497"/>
      <c r="AF368" s="497"/>
      <c r="AG368" s="497"/>
      <c r="AH368" s="497"/>
      <c r="AI368" s="497"/>
      <c r="AJ368" s="497"/>
      <c r="AK368" s="497"/>
      <c r="AL368" s="497"/>
      <c r="AM368" s="497"/>
      <c r="AN368" s="497"/>
      <c r="AO368" s="497"/>
      <c r="AP368" s="497"/>
      <c r="AQ368" s="497"/>
      <c r="AR368" s="498"/>
    </row>
    <row r="369" spans="3:44" ht="18" customHeight="1">
      <c r="C369" s="499"/>
      <c r="D369" s="500"/>
      <c r="E369" s="500"/>
      <c r="F369" s="500"/>
      <c r="G369" s="500"/>
      <c r="H369" s="500"/>
      <c r="I369" s="500"/>
      <c r="J369" s="500"/>
      <c r="K369" s="500"/>
      <c r="L369" s="500"/>
      <c r="M369" s="500"/>
      <c r="N369" s="500"/>
      <c r="O369" s="500"/>
      <c r="P369" s="500"/>
      <c r="Q369" s="500"/>
      <c r="R369" s="500"/>
      <c r="S369" s="500"/>
      <c r="T369" s="500"/>
      <c r="U369" s="500"/>
      <c r="V369" s="500"/>
      <c r="W369" s="500"/>
      <c r="X369" s="500"/>
      <c r="Y369" s="500"/>
      <c r="Z369" s="500"/>
      <c r="AA369" s="500"/>
      <c r="AB369" s="500"/>
      <c r="AC369" s="500"/>
      <c r="AD369" s="500"/>
      <c r="AE369" s="500"/>
      <c r="AF369" s="500"/>
      <c r="AG369" s="500"/>
      <c r="AH369" s="500"/>
      <c r="AI369" s="500"/>
      <c r="AJ369" s="500"/>
      <c r="AK369" s="500"/>
      <c r="AL369" s="500"/>
      <c r="AM369" s="500"/>
      <c r="AN369" s="500"/>
      <c r="AO369" s="500"/>
      <c r="AP369" s="500"/>
      <c r="AQ369" s="500"/>
      <c r="AR369" s="501"/>
    </row>
    <row r="370" spans="3:44" ht="18" customHeight="1">
      <c r="C370" s="502" t="s">
        <v>65</v>
      </c>
      <c r="D370" s="503"/>
      <c r="E370" s="503"/>
      <c r="F370" s="504"/>
      <c r="G370" s="508" t="s">
        <v>938</v>
      </c>
      <c r="H370" s="509"/>
      <c r="I370" s="509"/>
      <c r="J370" s="509"/>
      <c r="K370" s="512" t="s">
        <v>66</v>
      </c>
      <c r="L370" s="512"/>
      <c r="M370" s="512"/>
      <c r="N370" s="513"/>
      <c r="O370" s="522" t="s">
        <v>939</v>
      </c>
      <c r="P370" s="523"/>
      <c r="Q370" s="523"/>
      <c r="R370" s="523"/>
      <c r="S370" s="523"/>
      <c r="T370" s="523"/>
      <c r="U370" s="523"/>
      <c r="V370" s="523"/>
      <c r="W370" s="523"/>
      <c r="X370" s="523"/>
      <c r="Y370" s="523"/>
      <c r="Z370" s="523"/>
      <c r="AA370" s="523"/>
      <c r="AB370" s="523"/>
      <c r="AC370" s="523"/>
      <c r="AD370" s="523"/>
      <c r="AE370" s="523"/>
      <c r="AF370" s="523"/>
      <c r="AG370" s="523"/>
      <c r="AH370" s="523"/>
      <c r="AI370" s="523"/>
      <c r="AJ370" s="523"/>
      <c r="AK370" s="523"/>
      <c r="AL370" s="512" t="s">
        <v>67</v>
      </c>
      <c r="AM370" s="512"/>
      <c r="AN370" s="512"/>
      <c r="AO370" s="513"/>
      <c r="AP370" s="516" t="s">
        <v>246</v>
      </c>
      <c r="AQ370" s="517"/>
      <c r="AR370" s="518"/>
    </row>
    <row r="371" spans="3:44" ht="18" customHeight="1">
      <c r="C371" s="505"/>
      <c r="D371" s="506"/>
      <c r="E371" s="506"/>
      <c r="F371" s="507"/>
      <c r="G371" s="510"/>
      <c r="H371" s="511"/>
      <c r="I371" s="511"/>
      <c r="J371" s="511"/>
      <c r="K371" s="514"/>
      <c r="L371" s="514"/>
      <c r="M371" s="514"/>
      <c r="N371" s="515"/>
      <c r="O371" s="524"/>
      <c r="P371" s="525"/>
      <c r="Q371" s="525"/>
      <c r="R371" s="525"/>
      <c r="S371" s="525"/>
      <c r="T371" s="525"/>
      <c r="U371" s="525"/>
      <c r="V371" s="525"/>
      <c r="W371" s="525"/>
      <c r="X371" s="525"/>
      <c r="Y371" s="525"/>
      <c r="Z371" s="525"/>
      <c r="AA371" s="525"/>
      <c r="AB371" s="525"/>
      <c r="AC371" s="525"/>
      <c r="AD371" s="525"/>
      <c r="AE371" s="525"/>
      <c r="AF371" s="525"/>
      <c r="AG371" s="525"/>
      <c r="AH371" s="525"/>
      <c r="AI371" s="525"/>
      <c r="AJ371" s="525"/>
      <c r="AK371" s="525"/>
      <c r="AL371" s="514"/>
      <c r="AM371" s="514"/>
      <c r="AN371" s="514"/>
      <c r="AO371" s="515"/>
      <c r="AP371" s="519"/>
      <c r="AQ371" s="520"/>
      <c r="AR371" s="521"/>
    </row>
    <row r="373" spans="3:44" ht="18" customHeight="1">
      <c r="C373" s="461" t="s">
        <v>43</v>
      </c>
      <c r="D373" s="451"/>
      <c r="E373" s="451"/>
      <c r="F373" s="451" t="s">
        <v>68</v>
      </c>
      <c r="G373" s="451"/>
      <c r="H373" s="451"/>
      <c r="I373" s="451"/>
      <c r="J373" s="451"/>
      <c r="K373" s="451"/>
      <c r="L373" s="451"/>
      <c r="M373" s="451"/>
      <c r="N373" s="451"/>
      <c r="O373" s="451"/>
      <c r="P373" s="451"/>
      <c r="Q373" s="451"/>
      <c r="R373" s="451"/>
      <c r="S373" s="451"/>
      <c r="T373" s="451"/>
      <c r="U373" s="451"/>
      <c r="V373" s="451" t="s">
        <v>249</v>
      </c>
      <c r="W373" s="451"/>
      <c r="X373" s="451"/>
      <c r="Y373" s="451" t="s">
        <v>69</v>
      </c>
      <c r="Z373" s="451"/>
      <c r="AA373" s="451"/>
      <c r="AB373" s="451"/>
      <c r="AC373" s="451"/>
      <c r="AD373" s="451"/>
      <c r="AE373" s="451"/>
      <c r="AF373" s="451"/>
      <c r="AG373" s="451" t="s">
        <v>70</v>
      </c>
      <c r="AH373" s="451"/>
      <c r="AI373" s="451"/>
      <c r="AJ373" s="451"/>
      <c r="AK373" s="451"/>
      <c r="AL373" s="451"/>
      <c r="AM373" s="451"/>
      <c r="AN373" s="451"/>
      <c r="AO373" s="451" t="s">
        <v>71</v>
      </c>
      <c r="AP373" s="451"/>
      <c r="AQ373" s="451"/>
      <c r="AR373" s="453"/>
    </row>
    <row r="374" spans="3:44" ht="18" customHeight="1">
      <c r="C374" s="462"/>
      <c r="D374" s="452"/>
      <c r="E374" s="452"/>
      <c r="F374" s="452"/>
      <c r="G374" s="452"/>
      <c r="H374" s="452"/>
      <c r="I374" s="452"/>
      <c r="J374" s="452"/>
      <c r="K374" s="452"/>
      <c r="L374" s="452"/>
      <c r="M374" s="452"/>
      <c r="N374" s="452"/>
      <c r="O374" s="452"/>
      <c r="P374" s="452"/>
      <c r="Q374" s="452"/>
      <c r="R374" s="452"/>
      <c r="S374" s="452"/>
      <c r="T374" s="452"/>
      <c r="U374" s="452"/>
      <c r="V374" s="452"/>
      <c r="W374" s="452"/>
      <c r="X374" s="452"/>
      <c r="Y374" s="452" t="s">
        <v>72</v>
      </c>
      <c r="Z374" s="452"/>
      <c r="AA374" s="452"/>
      <c r="AB374" s="452"/>
      <c r="AC374" s="452" t="s">
        <v>73</v>
      </c>
      <c r="AD374" s="452"/>
      <c r="AE374" s="452"/>
      <c r="AF374" s="452"/>
      <c r="AG374" s="452" t="s">
        <v>72</v>
      </c>
      <c r="AH374" s="452"/>
      <c r="AI374" s="452"/>
      <c r="AJ374" s="452"/>
      <c r="AK374" s="452" t="s">
        <v>73</v>
      </c>
      <c r="AL374" s="452"/>
      <c r="AM374" s="452"/>
      <c r="AN374" s="452"/>
      <c r="AO374" s="452"/>
      <c r="AP374" s="452"/>
      <c r="AQ374" s="452"/>
      <c r="AR374" s="454"/>
    </row>
    <row r="375" spans="3:44" ht="18" customHeight="1">
      <c r="C375" s="455"/>
      <c r="D375" s="456"/>
      <c r="E375" s="456"/>
      <c r="F375" s="493"/>
      <c r="G375" s="493"/>
      <c r="H375" s="493"/>
      <c r="I375" s="493"/>
      <c r="J375" s="493"/>
      <c r="K375" s="493"/>
      <c r="L375" s="493"/>
      <c r="M375" s="493"/>
      <c r="N375" s="493"/>
      <c r="O375" s="493"/>
      <c r="P375" s="493"/>
      <c r="Q375" s="493"/>
      <c r="R375" s="493"/>
      <c r="S375" s="493"/>
      <c r="T375" s="493"/>
      <c r="U375" s="493"/>
      <c r="V375" s="491"/>
      <c r="W375" s="491"/>
      <c r="X375" s="491"/>
      <c r="Y375" s="491"/>
      <c r="Z375" s="491"/>
      <c r="AA375" s="491"/>
      <c r="AB375" s="491"/>
      <c r="AC375" s="494"/>
      <c r="AD375" s="494"/>
      <c r="AE375" s="494"/>
      <c r="AF375" s="494"/>
      <c r="AG375" s="491"/>
      <c r="AH375" s="491"/>
      <c r="AI375" s="491"/>
      <c r="AJ375" s="491"/>
      <c r="AK375" s="491"/>
      <c r="AL375" s="491"/>
      <c r="AM375" s="491"/>
      <c r="AN375" s="491"/>
      <c r="AO375" s="491"/>
      <c r="AP375" s="491"/>
      <c r="AQ375" s="491"/>
      <c r="AR375" s="492"/>
    </row>
    <row r="376" spans="3:44" ht="18" customHeight="1">
      <c r="C376" s="444"/>
      <c r="D376" s="445"/>
      <c r="E376" s="445"/>
      <c r="F376" s="493"/>
      <c r="G376" s="493"/>
      <c r="H376" s="493"/>
      <c r="I376" s="493"/>
      <c r="J376" s="493"/>
      <c r="K376" s="493"/>
      <c r="L376" s="493"/>
      <c r="M376" s="493"/>
      <c r="N376" s="493"/>
      <c r="O376" s="493"/>
      <c r="P376" s="493"/>
      <c r="Q376" s="493"/>
      <c r="R376" s="493"/>
      <c r="S376" s="493"/>
      <c r="T376" s="493"/>
      <c r="U376" s="493"/>
      <c r="V376" s="491"/>
      <c r="W376" s="491"/>
      <c r="X376" s="491"/>
      <c r="Y376" s="491"/>
      <c r="Z376" s="491"/>
      <c r="AA376" s="491"/>
      <c r="AB376" s="491"/>
      <c r="AC376" s="494"/>
      <c r="AD376" s="494"/>
      <c r="AE376" s="494"/>
      <c r="AF376" s="494"/>
      <c r="AG376" s="491"/>
      <c r="AH376" s="491"/>
      <c r="AI376" s="491"/>
      <c r="AJ376" s="491"/>
      <c r="AK376" s="491"/>
      <c r="AL376" s="491"/>
      <c r="AM376" s="491"/>
      <c r="AN376" s="491"/>
      <c r="AO376" s="491"/>
      <c r="AP376" s="491"/>
      <c r="AQ376" s="491"/>
      <c r="AR376" s="492"/>
    </row>
    <row r="377" spans="3:44" ht="18" customHeight="1">
      <c r="C377" s="444"/>
      <c r="D377" s="445"/>
      <c r="E377" s="445"/>
      <c r="F377" s="463"/>
      <c r="G377" s="463"/>
      <c r="H377" s="463"/>
      <c r="I377" s="463"/>
      <c r="J377" s="463"/>
      <c r="K377" s="463"/>
      <c r="L377" s="463"/>
      <c r="M377" s="463"/>
      <c r="N377" s="463"/>
      <c r="O377" s="463"/>
      <c r="P377" s="463"/>
      <c r="Q377" s="463"/>
      <c r="R377" s="463"/>
      <c r="S377" s="463"/>
      <c r="T377" s="463"/>
      <c r="U377" s="463"/>
      <c r="V377" s="465"/>
      <c r="W377" s="465"/>
      <c r="X377" s="465"/>
      <c r="Y377" s="465"/>
      <c r="Z377" s="465"/>
      <c r="AA377" s="465"/>
      <c r="AB377" s="465"/>
      <c r="AC377" s="490"/>
      <c r="AD377" s="490"/>
      <c r="AE377" s="490"/>
      <c r="AF377" s="490"/>
      <c r="AG377" s="465"/>
      <c r="AH377" s="465"/>
      <c r="AI377" s="465"/>
      <c r="AJ377" s="465"/>
      <c r="AK377" s="465"/>
      <c r="AL377" s="465"/>
      <c r="AM377" s="465"/>
      <c r="AN377" s="465"/>
      <c r="AO377" s="465"/>
      <c r="AP377" s="465"/>
      <c r="AQ377" s="465"/>
      <c r="AR377" s="489"/>
    </row>
    <row r="378" spans="3:44" ht="18" customHeight="1">
      <c r="C378" s="444"/>
      <c r="D378" s="445"/>
      <c r="E378" s="445"/>
      <c r="F378" s="463"/>
      <c r="G378" s="463"/>
      <c r="H378" s="463"/>
      <c r="I378" s="463"/>
      <c r="J378" s="463"/>
      <c r="K378" s="463"/>
      <c r="L378" s="463"/>
      <c r="M378" s="463"/>
      <c r="N378" s="463"/>
      <c r="O378" s="463"/>
      <c r="P378" s="463"/>
      <c r="Q378" s="463"/>
      <c r="R378" s="463"/>
      <c r="S378" s="463"/>
      <c r="T378" s="463"/>
      <c r="U378" s="463"/>
      <c r="V378" s="465"/>
      <c r="W378" s="465"/>
      <c r="X378" s="465"/>
      <c r="Y378" s="465"/>
      <c r="Z378" s="465"/>
      <c r="AA378" s="465"/>
      <c r="AB378" s="465"/>
      <c r="AC378" s="490"/>
      <c r="AD378" s="490"/>
      <c r="AE378" s="490"/>
      <c r="AF378" s="490"/>
      <c r="AG378" s="465"/>
      <c r="AH378" s="465"/>
      <c r="AI378" s="465"/>
      <c r="AJ378" s="465"/>
      <c r="AK378" s="465"/>
      <c r="AL378" s="465"/>
      <c r="AM378" s="465"/>
      <c r="AN378" s="465"/>
      <c r="AO378" s="465"/>
      <c r="AP378" s="465"/>
      <c r="AQ378" s="465"/>
      <c r="AR378" s="489"/>
    </row>
    <row r="379" spans="3:44" ht="18" customHeight="1">
      <c r="C379" s="444"/>
      <c r="D379" s="445"/>
      <c r="E379" s="445"/>
      <c r="F379" s="463"/>
      <c r="G379" s="463"/>
      <c r="H379" s="463"/>
      <c r="I379" s="463"/>
      <c r="J379" s="463"/>
      <c r="K379" s="463"/>
      <c r="L379" s="463"/>
      <c r="M379" s="463"/>
      <c r="N379" s="463"/>
      <c r="O379" s="463"/>
      <c r="P379" s="463"/>
      <c r="Q379" s="463"/>
      <c r="R379" s="463"/>
      <c r="S379" s="463"/>
      <c r="T379" s="463"/>
      <c r="U379" s="463"/>
      <c r="V379" s="465"/>
      <c r="W379" s="465"/>
      <c r="X379" s="465"/>
      <c r="Y379" s="465"/>
      <c r="Z379" s="465"/>
      <c r="AA379" s="465"/>
      <c r="AB379" s="465"/>
      <c r="AC379" s="490"/>
      <c r="AD379" s="490"/>
      <c r="AE379" s="490"/>
      <c r="AF379" s="490"/>
      <c r="AG379" s="465"/>
      <c r="AH379" s="465"/>
      <c r="AI379" s="465"/>
      <c r="AJ379" s="465"/>
      <c r="AK379" s="465"/>
      <c r="AL379" s="465"/>
      <c r="AM379" s="465"/>
      <c r="AN379" s="465"/>
      <c r="AO379" s="465"/>
      <c r="AP379" s="465"/>
      <c r="AQ379" s="465"/>
      <c r="AR379" s="489"/>
    </row>
    <row r="380" spans="3:44" ht="18" customHeight="1">
      <c r="C380" s="444"/>
      <c r="D380" s="445"/>
      <c r="E380" s="445"/>
      <c r="F380" s="463"/>
      <c r="G380" s="463"/>
      <c r="H380" s="463"/>
      <c r="I380" s="463"/>
      <c r="J380" s="463"/>
      <c r="K380" s="463"/>
      <c r="L380" s="463"/>
      <c r="M380" s="463"/>
      <c r="N380" s="463"/>
      <c r="O380" s="463"/>
      <c r="P380" s="463"/>
      <c r="Q380" s="463"/>
      <c r="R380" s="463"/>
      <c r="S380" s="463"/>
      <c r="T380" s="463"/>
      <c r="U380" s="463"/>
      <c r="V380" s="465"/>
      <c r="W380" s="465"/>
      <c r="X380" s="465"/>
      <c r="Y380" s="465"/>
      <c r="Z380" s="465"/>
      <c r="AA380" s="465"/>
      <c r="AB380" s="465"/>
      <c r="AC380" s="490"/>
      <c r="AD380" s="490"/>
      <c r="AE380" s="490"/>
      <c r="AF380" s="490"/>
      <c r="AG380" s="465"/>
      <c r="AH380" s="465"/>
      <c r="AI380" s="465"/>
      <c r="AJ380" s="465"/>
      <c r="AK380" s="465"/>
      <c r="AL380" s="465"/>
      <c r="AM380" s="465"/>
      <c r="AN380" s="465"/>
      <c r="AO380" s="465"/>
      <c r="AP380" s="465"/>
      <c r="AQ380" s="465"/>
      <c r="AR380" s="489"/>
    </row>
    <row r="381" spans="3:44" ht="18" customHeight="1">
      <c r="C381" s="444"/>
      <c r="D381" s="445"/>
      <c r="E381" s="445"/>
      <c r="F381" s="463"/>
      <c r="G381" s="463"/>
      <c r="H381" s="463"/>
      <c r="I381" s="463"/>
      <c r="J381" s="463"/>
      <c r="K381" s="463"/>
      <c r="L381" s="463"/>
      <c r="M381" s="463"/>
      <c r="N381" s="463"/>
      <c r="O381" s="463"/>
      <c r="P381" s="463"/>
      <c r="Q381" s="463"/>
      <c r="R381" s="463"/>
      <c r="S381" s="463"/>
      <c r="T381" s="463"/>
      <c r="U381" s="463"/>
      <c r="V381" s="465"/>
      <c r="W381" s="465"/>
      <c r="X381" s="465"/>
      <c r="Y381" s="465"/>
      <c r="Z381" s="465"/>
      <c r="AA381" s="465"/>
      <c r="AB381" s="465"/>
      <c r="AC381" s="490"/>
      <c r="AD381" s="490"/>
      <c r="AE381" s="490"/>
      <c r="AF381" s="490"/>
      <c r="AG381" s="465"/>
      <c r="AH381" s="465"/>
      <c r="AI381" s="465"/>
      <c r="AJ381" s="465"/>
      <c r="AK381" s="465"/>
      <c r="AL381" s="465"/>
      <c r="AM381" s="465"/>
      <c r="AN381" s="465"/>
      <c r="AO381" s="465"/>
      <c r="AP381" s="465"/>
      <c r="AQ381" s="465"/>
      <c r="AR381" s="489"/>
    </row>
    <row r="382" spans="3:44" ht="18" customHeight="1">
      <c r="C382" s="444"/>
      <c r="D382" s="445"/>
      <c r="E382" s="445"/>
      <c r="F382" s="463"/>
      <c r="G382" s="463"/>
      <c r="H382" s="463"/>
      <c r="I382" s="463"/>
      <c r="J382" s="463"/>
      <c r="K382" s="463"/>
      <c r="L382" s="463"/>
      <c r="M382" s="463"/>
      <c r="N382" s="463"/>
      <c r="O382" s="463"/>
      <c r="P382" s="463"/>
      <c r="Q382" s="463"/>
      <c r="R382" s="463"/>
      <c r="S382" s="463"/>
      <c r="T382" s="463"/>
      <c r="U382" s="463"/>
      <c r="V382" s="465"/>
      <c r="W382" s="465"/>
      <c r="X382" s="465"/>
      <c r="Y382" s="465"/>
      <c r="Z382" s="465"/>
      <c r="AA382" s="465"/>
      <c r="AB382" s="465"/>
      <c r="AC382" s="490"/>
      <c r="AD382" s="490"/>
      <c r="AE382" s="490"/>
      <c r="AF382" s="490"/>
      <c r="AG382" s="465"/>
      <c r="AH382" s="465"/>
      <c r="AI382" s="465"/>
      <c r="AJ382" s="465"/>
      <c r="AK382" s="465"/>
      <c r="AL382" s="465"/>
      <c r="AM382" s="465"/>
      <c r="AN382" s="465"/>
      <c r="AO382" s="465"/>
      <c r="AP382" s="465"/>
      <c r="AQ382" s="465"/>
      <c r="AR382" s="489"/>
    </row>
    <row r="383" spans="3:44" ht="18" customHeight="1">
      <c r="C383" s="427"/>
      <c r="D383" s="428"/>
      <c r="E383" s="428"/>
      <c r="F383" s="428"/>
      <c r="G383" s="428"/>
      <c r="H383" s="428"/>
      <c r="I383" s="428"/>
      <c r="J383" s="428"/>
      <c r="K383" s="428"/>
      <c r="L383" s="428"/>
      <c r="M383" s="428"/>
      <c r="N383" s="428"/>
      <c r="O383" s="428"/>
      <c r="P383" s="428"/>
      <c r="Q383" s="428"/>
      <c r="R383" s="428"/>
      <c r="S383" s="428"/>
      <c r="T383" s="428"/>
      <c r="U383" s="428"/>
      <c r="V383" s="428"/>
      <c r="W383" s="428"/>
      <c r="X383" s="428"/>
      <c r="Y383" s="495" t="s">
        <v>74</v>
      </c>
      <c r="Z383" s="495"/>
      <c r="AA383" s="495"/>
      <c r="AB383" s="495"/>
      <c r="AC383" s="495"/>
      <c r="AD383" s="495"/>
      <c r="AE383" s="495"/>
      <c r="AF383" s="495"/>
      <c r="AG383" s="495"/>
      <c r="AH383" s="495"/>
      <c r="AI383" s="495"/>
      <c r="AJ383" s="495"/>
      <c r="AK383" s="495"/>
      <c r="AL383" s="495"/>
      <c r="AM383" s="495"/>
      <c r="AN383" s="495"/>
      <c r="AO383" s="432">
        <f>SUM(AO375:AR382)</f>
        <v>0</v>
      </c>
      <c r="AP383" s="432"/>
      <c r="AQ383" s="432"/>
      <c r="AR383" s="433"/>
    </row>
    <row r="385" spans="3:44" ht="18" customHeight="1">
      <c r="C385" s="461" t="s">
        <v>43</v>
      </c>
      <c r="D385" s="451"/>
      <c r="E385" s="451"/>
      <c r="F385" s="451" t="s">
        <v>75</v>
      </c>
      <c r="G385" s="451"/>
      <c r="H385" s="451"/>
      <c r="I385" s="451"/>
      <c r="J385" s="451"/>
      <c r="K385" s="451"/>
      <c r="L385" s="451"/>
      <c r="M385" s="451"/>
      <c r="N385" s="451"/>
      <c r="O385" s="451"/>
      <c r="P385" s="451"/>
      <c r="Q385" s="451"/>
      <c r="R385" s="451"/>
      <c r="S385" s="451"/>
      <c r="T385" s="451"/>
      <c r="U385" s="451"/>
      <c r="V385" s="451"/>
      <c r="W385" s="451"/>
      <c r="X385" s="451"/>
      <c r="Y385" s="451"/>
      <c r="Z385" s="451"/>
      <c r="AA385" s="451"/>
      <c r="AB385" s="451"/>
      <c r="AC385" s="451" t="s">
        <v>76</v>
      </c>
      <c r="AD385" s="451"/>
      <c r="AE385" s="451"/>
      <c r="AF385" s="451"/>
      <c r="AG385" s="451" t="s">
        <v>249</v>
      </c>
      <c r="AH385" s="451"/>
      <c r="AI385" s="451"/>
      <c r="AJ385" s="451"/>
      <c r="AK385" s="451" t="s">
        <v>77</v>
      </c>
      <c r="AL385" s="451"/>
      <c r="AM385" s="451"/>
      <c r="AN385" s="451"/>
      <c r="AO385" s="451" t="s">
        <v>71</v>
      </c>
      <c r="AP385" s="451"/>
      <c r="AQ385" s="451"/>
      <c r="AR385" s="453"/>
    </row>
    <row r="386" spans="3:44" ht="18" customHeight="1">
      <c r="C386" s="462"/>
      <c r="D386" s="452"/>
      <c r="E386" s="452"/>
      <c r="F386" s="452"/>
      <c r="G386" s="452"/>
      <c r="H386" s="452"/>
      <c r="I386" s="452"/>
      <c r="J386" s="452"/>
      <c r="K386" s="452"/>
      <c r="L386" s="452"/>
      <c r="M386" s="452"/>
      <c r="N386" s="452"/>
      <c r="O386" s="452"/>
      <c r="P386" s="452"/>
      <c r="Q386" s="452"/>
      <c r="R386" s="452"/>
      <c r="S386" s="452"/>
      <c r="T386" s="452"/>
      <c r="U386" s="452"/>
      <c r="V386" s="452"/>
      <c r="W386" s="452"/>
      <c r="X386" s="452"/>
      <c r="Y386" s="452"/>
      <c r="Z386" s="452"/>
      <c r="AA386" s="452"/>
      <c r="AB386" s="452"/>
      <c r="AC386" s="452"/>
      <c r="AD386" s="452"/>
      <c r="AE386" s="452"/>
      <c r="AF386" s="452"/>
      <c r="AG386" s="452"/>
      <c r="AH386" s="452"/>
      <c r="AI386" s="452"/>
      <c r="AJ386" s="452"/>
      <c r="AK386" s="452"/>
      <c r="AL386" s="452"/>
      <c r="AM386" s="452"/>
      <c r="AN386" s="452"/>
      <c r="AO386" s="452"/>
      <c r="AP386" s="452"/>
      <c r="AQ386" s="452"/>
      <c r="AR386" s="454"/>
    </row>
    <row r="387" spans="3:44" ht="18" customHeight="1">
      <c r="C387" s="455" t="s">
        <v>940</v>
      </c>
      <c r="D387" s="456"/>
      <c r="E387" s="456"/>
      <c r="F387" s="493" t="s">
        <v>941</v>
      </c>
      <c r="G387" s="493"/>
      <c r="H387" s="493"/>
      <c r="I387" s="493"/>
      <c r="J387" s="493"/>
      <c r="K387" s="493"/>
      <c r="L387" s="493"/>
      <c r="M387" s="493"/>
      <c r="N387" s="493"/>
      <c r="O387" s="493"/>
      <c r="P387" s="493"/>
      <c r="Q387" s="493"/>
      <c r="R387" s="493"/>
      <c r="S387" s="493"/>
      <c r="T387" s="493"/>
      <c r="U387" s="493"/>
      <c r="V387" s="493"/>
      <c r="W387" s="493"/>
      <c r="X387" s="493"/>
      <c r="Y387" s="493"/>
      <c r="Z387" s="493"/>
      <c r="AA387" s="493"/>
      <c r="AB387" s="493"/>
      <c r="AC387" s="449"/>
      <c r="AD387" s="449"/>
      <c r="AE387" s="449"/>
      <c r="AF387" s="449"/>
      <c r="AG387" s="449">
        <v>0.01</v>
      </c>
      <c r="AH387" s="449"/>
      <c r="AI387" s="449"/>
      <c r="AJ387" s="449"/>
      <c r="AK387" s="449">
        <f>VLOOKUP(C387,[4]MÃODEOBRA!A$1:D$65536,4,FALSE)</f>
        <v>22.98488</v>
      </c>
      <c r="AL387" s="449"/>
      <c r="AM387" s="449"/>
      <c r="AN387" s="449"/>
      <c r="AO387" s="491">
        <f>ROUND(AG387*AK387,2)</f>
        <v>0.23</v>
      </c>
      <c r="AP387" s="491"/>
      <c r="AQ387" s="491"/>
      <c r="AR387" s="492"/>
    </row>
    <row r="388" spans="3:44" ht="18" customHeight="1">
      <c r="C388" s="444" t="s">
        <v>942</v>
      </c>
      <c r="D388" s="445"/>
      <c r="E388" s="445"/>
      <c r="F388" s="493" t="s">
        <v>818</v>
      </c>
      <c r="G388" s="493"/>
      <c r="H388" s="493"/>
      <c r="I388" s="493"/>
      <c r="J388" s="493"/>
      <c r="K388" s="493"/>
      <c r="L388" s="493"/>
      <c r="M388" s="493"/>
      <c r="N388" s="493"/>
      <c r="O388" s="493"/>
      <c r="P388" s="493"/>
      <c r="Q388" s="493"/>
      <c r="R388" s="493"/>
      <c r="S388" s="493"/>
      <c r="T388" s="493"/>
      <c r="U388" s="493"/>
      <c r="V388" s="493"/>
      <c r="W388" s="493"/>
      <c r="X388" s="493"/>
      <c r="Y388" s="493"/>
      <c r="Z388" s="493"/>
      <c r="AA388" s="493"/>
      <c r="AB388" s="493"/>
      <c r="AC388" s="425"/>
      <c r="AD388" s="425"/>
      <c r="AE388" s="425"/>
      <c r="AF388" s="425"/>
      <c r="AG388" s="425">
        <v>0.04</v>
      </c>
      <c r="AH388" s="425"/>
      <c r="AI388" s="425"/>
      <c r="AJ388" s="425"/>
      <c r="AK388" s="449">
        <f>VLOOKUP(C388,[4]MÃODEOBRA!A$1:D$65536,4,FALSE)</f>
        <v>11.156079999999999</v>
      </c>
      <c r="AL388" s="449"/>
      <c r="AM388" s="449"/>
      <c r="AN388" s="449"/>
      <c r="AO388" s="491">
        <f>ROUND(AG388*AK388,2)</f>
        <v>0.45</v>
      </c>
      <c r="AP388" s="491"/>
      <c r="AQ388" s="491"/>
      <c r="AR388" s="492"/>
    </row>
    <row r="389" spans="3:44" ht="18" customHeight="1">
      <c r="C389" s="444" t="s">
        <v>943</v>
      </c>
      <c r="D389" s="445"/>
      <c r="E389" s="445"/>
      <c r="F389" s="493" t="s">
        <v>106</v>
      </c>
      <c r="G389" s="493"/>
      <c r="H389" s="493"/>
      <c r="I389" s="493"/>
      <c r="J389" s="493"/>
      <c r="K389" s="493"/>
      <c r="L389" s="493"/>
      <c r="M389" s="493"/>
      <c r="N389" s="493"/>
      <c r="O389" s="493"/>
      <c r="P389" s="493"/>
      <c r="Q389" s="493"/>
      <c r="R389" s="493"/>
      <c r="S389" s="493"/>
      <c r="T389" s="493"/>
      <c r="U389" s="493"/>
      <c r="V389" s="493"/>
      <c r="W389" s="493"/>
      <c r="X389" s="493"/>
      <c r="Y389" s="493"/>
      <c r="Z389" s="493"/>
      <c r="AA389" s="493"/>
      <c r="AB389" s="493"/>
      <c r="AC389" s="425"/>
      <c r="AD389" s="425"/>
      <c r="AE389" s="425"/>
      <c r="AF389" s="425"/>
      <c r="AG389" s="425">
        <v>0.04</v>
      </c>
      <c r="AH389" s="425"/>
      <c r="AI389" s="425"/>
      <c r="AJ389" s="425"/>
      <c r="AK389" s="449">
        <f>VLOOKUP(C389,[4]MÃODEOBRA!A$1:D$65536,4,FALSE)</f>
        <v>8.6333500000000001</v>
      </c>
      <c r="AL389" s="449"/>
      <c r="AM389" s="449"/>
      <c r="AN389" s="449"/>
      <c r="AO389" s="491">
        <f>ROUND(AG389*AK389,2)</f>
        <v>0.35</v>
      </c>
      <c r="AP389" s="491"/>
      <c r="AQ389" s="491"/>
      <c r="AR389" s="492"/>
    </row>
    <row r="390" spans="3:44" ht="18" customHeight="1">
      <c r="C390" s="444"/>
      <c r="D390" s="445"/>
      <c r="E390" s="445"/>
      <c r="F390" s="463"/>
      <c r="G390" s="463"/>
      <c r="H390" s="463"/>
      <c r="I390" s="463"/>
      <c r="J390" s="463"/>
      <c r="K390" s="463"/>
      <c r="L390" s="463"/>
      <c r="M390" s="463"/>
      <c r="N390" s="463"/>
      <c r="O390" s="463"/>
      <c r="P390" s="463"/>
      <c r="Q390" s="463"/>
      <c r="R390" s="463"/>
      <c r="S390" s="463"/>
      <c r="T390" s="463"/>
      <c r="U390" s="463"/>
      <c r="V390" s="463"/>
      <c r="W390" s="463"/>
      <c r="X390" s="463"/>
      <c r="Y390" s="463"/>
      <c r="Z390" s="463"/>
      <c r="AA390" s="463"/>
      <c r="AB390" s="463"/>
      <c r="AC390" s="425"/>
      <c r="AD390" s="425"/>
      <c r="AE390" s="425"/>
      <c r="AF390" s="425"/>
      <c r="AG390" s="425"/>
      <c r="AH390" s="425"/>
      <c r="AI390" s="425"/>
      <c r="AJ390" s="425"/>
      <c r="AK390" s="425"/>
      <c r="AL390" s="425"/>
      <c r="AM390" s="425"/>
      <c r="AN390" s="425"/>
      <c r="AO390" s="465"/>
      <c r="AP390" s="465"/>
      <c r="AQ390" s="465"/>
      <c r="AR390" s="489"/>
    </row>
    <row r="391" spans="3:44" ht="18" customHeight="1">
      <c r="C391" s="444"/>
      <c r="D391" s="445"/>
      <c r="E391" s="445"/>
      <c r="F391" s="463"/>
      <c r="G391" s="463"/>
      <c r="H391" s="463"/>
      <c r="I391" s="463"/>
      <c r="J391" s="463"/>
      <c r="K391" s="463"/>
      <c r="L391" s="463"/>
      <c r="M391" s="463"/>
      <c r="N391" s="463"/>
      <c r="O391" s="463"/>
      <c r="P391" s="463"/>
      <c r="Q391" s="463"/>
      <c r="R391" s="463"/>
      <c r="S391" s="463"/>
      <c r="T391" s="463"/>
      <c r="U391" s="463"/>
      <c r="V391" s="463"/>
      <c r="W391" s="463"/>
      <c r="X391" s="463"/>
      <c r="Y391" s="463"/>
      <c r="Z391" s="463"/>
      <c r="AA391" s="463"/>
      <c r="AB391" s="463"/>
      <c r="AC391" s="425"/>
      <c r="AD391" s="425"/>
      <c r="AE391" s="425"/>
      <c r="AF391" s="425"/>
      <c r="AG391" s="425"/>
      <c r="AH391" s="425"/>
      <c r="AI391" s="425"/>
      <c r="AJ391" s="425"/>
      <c r="AK391" s="425"/>
      <c r="AL391" s="425"/>
      <c r="AM391" s="425"/>
      <c r="AN391" s="425"/>
      <c r="AO391" s="465"/>
      <c r="AP391" s="465"/>
      <c r="AQ391" s="465"/>
      <c r="AR391" s="489"/>
    </row>
    <row r="392" spans="3:44" ht="18" customHeight="1">
      <c r="C392" s="444"/>
      <c r="D392" s="445"/>
      <c r="E392" s="445"/>
      <c r="F392" s="463"/>
      <c r="G392" s="463"/>
      <c r="H392" s="463"/>
      <c r="I392" s="463"/>
      <c r="J392" s="463"/>
      <c r="K392" s="463"/>
      <c r="L392" s="463"/>
      <c r="M392" s="463"/>
      <c r="N392" s="463"/>
      <c r="O392" s="463"/>
      <c r="P392" s="463"/>
      <c r="Q392" s="463"/>
      <c r="R392" s="463"/>
      <c r="S392" s="463"/>
      <c r="T392" s="463"/>
      <c r="U392" s="463"/>
      <c r="V392" s="463"/>
      <c r="W392" s="463"/>
      <c r="X392" s="463"/>
      <c r="Y392" s="463"/>
      <c r="Z392" s="463"/>
      <c r="AA392" s="463"/>
      <c r="AB392" s="463"/>
      <c r="AC392" s="425"/>
      <c r="AD392" s="425"/>
      <c r="AE392" s="425"/>
      <c r="AF392" s="425"/>
      <c r="AG392" s="425"/>
      <c r="AH392" s="425"/>
      <c r="AI392" s="425"/>
      <c r="AJ392" s="425"/>
      <c r="AK392" s="425"/>
      <c r="AL392" s="425"/>
      <c r="AM392" s="425"/>
      <c r="AN392" s="425"/>
      <c r="AO392" s="465"/>
      <c r="AP392" s="465"/>
      <c r="AQ392" s="465"/>
      <c r="AR392" s="489"/>
    </row>
    <row r="393" spans="3:44" ht="18" customHeight="1">
      <c r="C393" s="444"/>
      <c r="D393" s="445"/>
      <c r="E393" s="445"/>
      <c r="F393" s="463"/>
      <c r="G393" s="463"/>
      <c r="H393" s="463"/>
      <c r="I393" s="463"/>
      <c r="J393" s="463"/>
      <c r="K393" s="463"/>
      <c r="L393" s="463"/>
      <c r="M393" s="463"/>
      <c r="N393" s="463"/>
      <c r="O393" s="463"/>
      <c r="P393" s="463"/>
      <c r="Q393" s="463"/>
      <c r="R393" s="463"/>
      <c r="S393" s="463"/>
      <c r="T393" s="463"/>
      <c r="U393" s="463"/>
      <c r="V393" s="463"/>
      <c r="W393" s="463"/>
      <c r="X393" s="463"/>
      <c r="Y393" s="463"/>
      <c r="Z393" s="463"/>
      <c r="AA393" s="463"/>
      <c r="AB393" s="463"/>
      <c r="AC393" s="425"/>
      <c r="AD393" s="425"/>
      <c r="AE393" s="425"/>
      <c r="AF393" s="425"/>
      <c r="AG393" s="425"/>
      <c r="AH393" s="425"/>
      <c r="AI393" s="425"/>
      <c r="AJ393" s="425"/>
      <c r="AK393" s="425"/>
      <c r="AL393" s="425"/>
      <c r="AM393" s="425"/>
      <c r="AN393" s="425"/>
      <c r="AO393" s="465"/>
      <c r="AP393" s="465"/>
      <c r="AQ393" s="465"/>
      <c r="AR393" s="489"/>
    </row>
    <row r="394" spans="3:44" ht="18" customHeight="1">
      <c r="C394" s="444"/>
      <c r="D394" s="445"/>
      <c r="E394" s="445"/>
      <c r="F394" s="463"/>
      <c r="G394" s="463"/>
      <c r="H394" s="463"/>
      <c r="I394" s="463"/>
      <c r="J394" s="463"/>
      <c r="K394" s="463"/>
      <c r="L394" s="463"/>
      <c r="M394" s="463"/>
      <c r="N394" s="463"/>
      <c r="O394" s="463"/>
      <c r="P394" s="463"/>
      <c r="Q394" s="463"/>
      <c r="R394" s="463"/>
      <c r="S394" s="463"/>
      <c r="T394" s="463"/>
      <c r="U394" s="463"/>
      <c r="V394" s="463"/>
      <c r="W394" s="463"/>
      <c r="X394" s="463"/>
      <c r="Y394" s="463"/>
      <c r="Z394" s="463"/>
      <c r="AA394" s="463"/>
      <c r="AB394" s="463"/>
      <c r="AC394" s="425"/>
      <c r="AD394" s="425"/>
      <c r="AE394" s="425"/>
      <c r="AF394" s="425"/>
      <c r="AG394" s="425"/>
      <c r="AH394" s="425"/>
      <c r="AI394" s="425"/>
      <c r="AJ394" s="425"/>
      <c r="AK394" s="425"/>
      <c r="AL394" s="425"/>
      <c r="AM394" s="425"/>
      <c r="AN394" s="425"/>
      <c r="AO394" s="465"/>
      <c r="AP394" s="465"/>
      <c r="AQ394" s="465"/>
      <c r="AR394" s="489"/>
    </row>
    <row r="395" spans="3:44" ht="18" customHeight="1">
      <c r="C395" s="480"/>
      <c r="D395" s="481"/>
      <c r="E395" s="481"/>
      <c r="F395" s="481"/>
      <c r="G395" s="481"/>
      <c r="H395" s="481"/>
      <c r="I395" s="481"/>
      <c r="J395" s="481"/>
      <c r="K395" s="481"/>
      <c r="L395" s="481"/>
      <c r="M395" s="481"/>
      <c r="N395" s="481"/>
      <c r="O395" s="481"/>
      <c r="P395" s="481"/>
      <c r="Q395" s="481"/>
      <c r="R395" s="481"/>
      <c r="S395" s="481"/>
      <c r="T395" s="481"/>
      <c r="U395" s="481"/>
      <c r="V395" s="481"/>
      <c r="W395" s="481"/>
      <c r="X395" s="482"/>
      <c r="Y395" s="483" t="s">
        <v>78</v>
      </c>
      <c r="Z395" s="484"/>
      <c r="AA395" s="484"/>
      <c r="AB395" s="484"/>
      <c r="AC395" s="484"/>
      <c r="AD395" s="484"/>
      <c r="AE395" s="484"/>
      <c r="AF395" s="484"/>
      <c r="AG395" s="538">
        <v>0.2051</v>
      </c>
      <c r="AH395" s="538"/>
      <c r="AI395" s="538"/>
      <c r="AJ395" s="538"/>
      <c r="AK395" s="465">
        <f>SUM(AO387:AR394)</f>
        <v>1.03</v>
      </c>
      <c r="AL395" s="486"/>
      <c r="AM395" s="486"/>
      <c r="AN395" s="486"/>
      <c r="AO395" s="487">
        <f>ROUND(AG395*AK395,2)</f>
        <v>0.21</v>
      </c>
      <c r="AP395" s="487"/>
      <c r="AQ395" s="487"/>
      <c r="AR395" s="488"/>
    </row>
    <row r="396" spans="3:44" ht="18" customHeight="1">
      <c r="C396" s="427"/>
      <c r="D396" s="428"/>
      <c r="E396" s="428"/>
      <c r="F396" s="428"/>
      <c r="G396" s="428"/>
      <c r="H396" s="428"/>
      <c r="I396" s="428"/>
      <c r="J396" s="428"/>
      <c r="K396" s="428"/>
      <c r="L396" s="428"/>
      <c r="M396" s="428"/>
      <c r="N396" s="428"/>
      <c r="O396" s="428"/>
      <c r="P396" s="428"/>
      <c r="Q396" s="428"/>
      <c r="R396" s="428"/>
      <c r="S396" s="428"/>
      <c r="T396" s="428"/>
      <c r="U396" s="428"/>
      <c r="V396" s="428"/>
      <c r="W396" s="428"/>
      <c r="X396" s="429"/>
      <c r="Y396" s="430" t="s">
        <v>79</v>
      </c>
      <c r="Z396" s="431"/>
      <c r="AA396" s="431"/>
      <c r="AB396" s="431"/>
      <c r="AC396" s="431"/>
      <c r="AD396" s="431"/>
      <c r="AE396" s="431"/>
      <c r="AF396" s="431"/>
      <c r="AG396" s="431"/>
      <c r="AH396" s="431"/>
      <c r="AI396" s="431"/>
      <c r="AJ396" s="431"/>
      <c r="AK396" s="431"/>
      <c r="AL396" s="431"/>
      <c r="AM396" s="431"/>
      <c r="AN396" s="431"/>
      <c r="AO396" s="432">
        <f>SUM(AO387:AR395)</f>
        <v>1.24</v>
      </c>
      <c r="AP396" s="432"/>
      <c r="AQ396" s="432"/>
      <c r="AR396" s="433"/>
    </row>
    <row r="398" spans="3:44" ht="18" customHeight="1">
      <c r="C398" s="469"/>
      <c r="D398" s="470"/>
      <c r="E398" s="470"/>
      <c r="F398" s="470"/>
      <c r="G398" s="470"/>
      <c r="H398" s="470"/>
      <c r="I398" s="470"/>
      <c r="J398" s="470"/>
      <c r="K398" s="470"/>
      <c r="L398" s="470"/>
      <c r="M398" s="470"/>
      <c r="N398" s="470"/>
      <c r="O398" s="470"/>
      <c r="P398" s="470"/>
      <c r="Q398" s="470"/>
      <c r="R398" s="470"/>
      <c r="S398" s="470"/>
      <c r="T398" s="470"/>
      <c r="U398" s="470"/>
      <c r="V398" s="470"/>
      <c r="W398" s="470"/>
      <c r="X398" s="471"/>
      <c r="Y398" s="472" t="s">
        <v>80</v>
      </c>
      <c r="Z398" s="472"/>
      <c r="AA398" s="472"/>
      <c r="AB398" s="472"/>
      <c r="AC398" s="472"/>
      <c r="AD398" s="472"/>
      <c r="AE398" s="472"/>
      <c r="AF398" s="472"/>
      <c r="AG398" s="472"/>
      <c r="AH398" s="472"/>
      <c r="AI398" s="472"/>
      <c r="AJ398" s="472"/>
      <c r="AK398" s="472"/>
      <c r="AL398" s="472"/>
      <c r="AM398" s="472"/>
      <c r="AN398" s="472"/>
      <c r="AO398" s="473">
        <f>AO383+AO396</f>
        <v>1.24</v>
      </c>
      <c r="AP398" s="474"/>
      <c r="AQ398" s="474"/>
      <c r="AR398" s="475"/>
    </row>
    <row r="399" spans="3:44" ht="18" customHeight="1">
      <c r="C399" s="476" t="s">
        <v>81</v>
      </c>
      <c r="D399" s="431"/>
      <c r="E399" s="431"/>
      <c r="F399" s="431"/>
      <c r="G399" s="431"/>
      <c r="H399" s="431"/>
      <c r="I399" s="431"/>
      <c r="J399" s="431"/>
      <c r="K399" s="431"/>
      <c r="L399" s="431"/>
      <c r="M399" s="431"/>
      <c r="N399" s="431"/>
      <c r="O399" s="431"/>
      <c r="P399" s="431"/>
      <c r="Q399" s="432">
        <v>1</v>
      </c>
      <c r="R399" s="432"/>
      <c r="S399" s="432"/>
      <c r="T399" s="432"/>
      <c r="U399" s="477"/>
      <c r="V399" s="430" t="s">
        <v>246</v>
      </c>
      <c r="W399" s="431"/>
      <c r="X399" s="431"/>
      <c r="Y399" s="472" t="s">
        <v>82</v>
      </c>
      <c r="Z399" s="472"/>
      <c r="AA399" s="472"/>
      <c r="AB399" s="472"/>
      <c r="AC399" s="472"/>
      <c r="AD399" s="472"/>
      <c r="AE399" s="472"/>
      <c r="AF399" s="472"/>
      <c r="AG399" s="472"/>
      <c r="AH399" s="472"/>
      <c r="AI399" s="472"/>
      <c r="AJ399" s="472"/>
      <c r="AK399" s="472"/>
      <c r="AL399" s="472"/>
      <c r="AM399" s="472"/>
      <c r="AN399" s="472"/>
      <c r="AO399" s="478">
        <f>ROUND(AO398/Q399,2)</f>
        <v>1.24</v>
      </c>
      <c r="AP399" s="478"/>
      <c r="AQ399" s="478"/>
      <c r="AR399" s="479"/>
    </row>
    <row r="401" spans="3:44" ht="18" customHeight="1">
      <c r="C401" s="461" t="s">
        <v>43</v>
      </c>
      <c r="D401" s="451"/>
      <c r="E401" s="451"/>
      <c r="F401" s="451" t="s">
        <v>83</v>
      </c>
      <c r="G401" s="451"/>
      <c r="H401" s="451"/>
      <c r="I401" s="451"/>
      <c r="J401" s="451"/>
      <c r="K401" s="451"/>
      <c r="L401" s="451"/>
      <c r="M401" s="451"/>
      <c r="N401" s="451"/>
      <c r="O401" s="451"/>
      <c r="P401" s="451"/>
      <c r="Q401" s="451"/>
      <c r="R401" s="451"/>
      <c r="S401" s="451"/>
      <c r="T401" s="451"/>
      <c r="U401" s="451"/>
      <c r="V401" s="451"/>
      <c r="W401" s="451"/>
      <c r="X401" s="451"/>
      <c r="Y401" s="451"/>
      <c r="Z401" s="451"/>
      <c r="AA401" s="451"/>
      <c r="AB401" s="451"/>
      <c r="AC401" s="451" t="s">
        <v>84</v>
      </c>
      <c r="AD401" s="451"/>
      <c r="AE401" s="451"/>
      <c r="AF401" s="451"/>
      <c r="AG401" s="451" t="s">
        <v>85</v>
      </c>
      <c r="AH401" s="451"/>
      <c r="AI401" s="451"/>
      <c r="AJ401" s="451"/>
      <c r="AK401" s="451" t="s">
        <v>86</v>
      </c>
      <c r="AL401" s="451"/>
      <c r="AM401" s="451"/>
      <c r="AN401" s="451"/>
      <c r="AO401" s="451" t="s">
        <v>87</v>
      </c>
      <c r="AP401" s="451"/>
      <c r="AQ401" s="451"/>
      <c r="AR401" s="453"/>
    </row>
    <row r="402" spans="3:44" ht="18" customHeight="1">
      <c r="C402" s="462"/>
      <c r="D402" s="452"/>
      <c r="E402" s="452"/>
      <c r="F402" s="452"/>
      <c r="G402" s="452"/>
      <c r="H402" s="452"/>
      <c r="I402" s="452"/>
      <c r="J402" s="452"/>
      <c r="K402" s="452"/>
      <c r="L402" s="452"/>
      <c r="M402" s="452"/>
      <c r="N402" s="452"/>
      <c r="O402" s="452"/>
      <c r="P402" s="452"/>
      <c r="Q402" s="452"/>
      <c r="R402" s="452"/>
      <c r="S402" s="452"/>
      <c r="T402" s="452"/>
      <c r="U402" s="452"/>
      <c r="V402" s="452"/>
      <c r="W402" s="452"/>
      <c r="X402" s="452"/>
      <c r="Y402" s="452"/>
      <c r="Z402" s="452"/>
      <c r="AA402" s="452"/>
      <c r="AB402" s="452"/>
      <c r="AC402" s="452"/>
      <c r="AD402" s="452"/>
      <c r="AE402" s="452"/>
      <c r="AF402" s="452"/>
      <c r="AG402" s="452"/>
      <c r="AH402" s="452"/>
      <c r="AI402" s="452"/>
      <c r="AJ402" s="452"/>
      <c r="AK402" s="452"/>
      <c r="AL402" s="452"/>
      <c r="AM402" s="452"/>
      <c r="AN402" s="452"/>
      <c r="AO402" s="452"/>
      <c r="AP402" s="452"/>
      <c r="AQ402" s="452"/>
      <c r="AR402" s="454"/>
    </row>
    <row r="403" spans="3:44" ht="18" customHeight="1">
      <c r="C403" s="455" t="s">
        <v>1412</v>
      </c>
      <c r="D403" s="456"/>
      <c r="E403" s="456"/>
      <c r="F403" s="493" t="s">
        <v>944</v>
      </c>
      <c r="G403" s="493"/>
      <c r="H403" s="493"/>
      <c r="I403" s="493"/>
      <c r="J403" s="493"/>
      <c r="K403" s="493"/>
      <c r="L403" s="493"/>
      <c r="M403" s="493"/>
      <c r="N403" s="493"/>
      <c r="O403" s="493"/>
      <c r="P403" s="493"/>
      <c r="Q403" s="493"/>
      <c r="R403" s="493"/>
      <c r="S403" s="493"/>
      <c r="T403" s="493"/>
      <c r="U403" s="493"/>
      <c r="V403" s="493"/>
      <c r="W403" s="493"/>
      <c r="X403" s="493"/>
      <c r="Y403" s="493"/>
      <c r="Z403" s="493"/>
      <c r="AA403" s="493"/>
      <c r="AB403" s="493"/>
      <c r="AC403" s="531" t="s">
        <v>246</v>
      </c>
      <c r="AD403" s="531"/>
      <c r="AE403" s="531"/>
      <c r="AF403" s="531"/>
      <c r="AG403" s="466">
        <f>VLOOKUP(C403,[4]MATERIAL!A$1:D$65536,4,FALSE)</f>
        <v>5.24</v>
      </c>
      <c r="AH403" s="467"/>
      <c r="AI403" s="467"/>
      <c r="AJ403" s="468"/>
      <c r="AK403" s="460">
        <v>1.03</v>
      </c>
      <c r="AL403" s="460"/>
      <c r="AM403" s="460"/>
      <c r="AN403" s="460"/>
      <c r="AO403" s="449">
        <f>ROUND(AG403*AK403,2)</f>
        <v>5.4</v>
      </c>
      <c r="AP403" s="449"/>
      <c r="AQ403" s="449"/>
      <c r="AR403" s="450"/>
    </row>
    <row r="404" spans="3:44" ht="18" customHeight="1">
      <c r="C404" s="444" t="s">
        <v>1413</v>
      </c>
      <c r="D404" s="445"/>
      <c r="E404" s="445"/>
      <c r="F404" s="493" t="s">
        <v>947</v>
      </c>
      <c r="G404" s="493"/>
      <c r="H404" s="493"/>
      <c r="I404" s="493"/>
      <c r="J404" s="493"/>
      <c r="K404" s="493"/>
      <c r="L404" s="493"/>
      <c r="M404" s="493"/>
      <c r="N404" s="493"/>
      <c r="O404" s="493"/>
      <c r="P404" s="493"/>
      <c r="Q404" s="493"/>
      <c r="R404" s="493"/>
      <c r="S404" s="493"/>
      <c r="T404" s="493"/>
      <c r="U404" s="493"/>
      <c r="V404" s="493"/>
      <c r="W404" s="493"/>
      <c r="X404" s="493"/>
      <c r="Y404" s="493"/>
      <c r="Z404" s="493"/>
      <c r="AA404" s="493"/>
      <c r="AB404" s="493"/>
      <c r="AC404" s="464" t="s">
        <v>246</v>
      </c>
      <c r="AD404" s="464"/>
      <c r="AE404" s="464"/>
      <c r="AF404" s="464"/>
      <c r="AG404" s="466">
        <f>VLOOKUP(C404,[4]MATERIAL!A$1:D$65536,4,FALSE)</f>
        <v>4.2</v>
      </c>
      <c r="AH404" s="467"/>
      <c r="AI404" s="467"/>
      <c r="AJ404" s="468"/>
      <c r="AK404" s="424">
        <v>0.01</v>
      </c>
      <c r="AL404" s="424"/>
      <c r="AM404" s="424"/>
      <c r="AN404" s="424"/>
      <c r="AO404" s="449">
        <f>ROUND(AG404*AK404,2)</f>
        <v>0.04</v>
      </c>
      <c r="AP404" s="449"/>
      <c r="AQ404" s="449"/>
      <c r="AR404" s="450"/>
    </row>
    <row r="405" spans="3:44" ht="18" customHeight="1">
      <c r="C405" s="444"/>
      <c r="D405" s="445"/>
      <c r="E405" s="445"/>
      <c r="F405" s="493" t="s">
        <v>945</v>
      </c>
      <c r="G405" s="493"/>
      <c r="H405" s="493"/>
      <c r="I405" s="493"/>
      <c r="J405" s="493"/>
      <c r="K405" s="493"/>
      <c r="L405" s="493"/>
      <c r="M405" s="493"/>
      <c r="N405" s="493"/>
      <c r="O405" s="493"/>
      <c r="P405" s="493"/>
      <c r="Q405" s="493"/>
      <c r="R405" s="493"/>
      <c r="S405" s="493"/>
      <c r="T405" s="493"/>
      <c r="U405" s="493"/>
      <c r="V405" s="493"/>
      <c r="W405" s="493"/>
      <c r="X405" s="493"/>
      <c r="Y405" s="493"/>
      <c r="Z405" s="493"/>
      <c r="AA405" s="493"/>
      <c r="AB405" s="493"/>
      <c r="AC405" s="464" t="s">
        <v>189</v>
      </c>
      <c r="AD405" s="464"/>
      <c r="AE405" s="464"/>
      <c r="AF405" s="464"/>
      <c r="AG405" s="491">
        <v>34</v>
      </c>
      <c r="AH405" s="491"/>
      <c r="AI405" s="491"/>
      <c r="AJ405" s="491"/>
      <c r="AK405" s="424">
        <v>0.1</v>
      </c>
      <c r="AL405" s="424"/>
      <c r="AM405" s="424"/>
      <c r="AN405" s="424"/>
      <c r="AO405" s="449">
        <f>ROUND(AG405*AK405,2)</f>
        <v>3.4</v>
      </c>
      <c r="AP405" s="449"/>
      <c r="AQ405" s="449"/>
      <c r="AR405" s="450"/>
    </row>
    <row r="406" spans="3:44" ht="18" customHeight="1">
      <c r="C406" s="444" t="s">
        <v>1414</v>
      </c>
      <c r="D406" s="445"/>
      <c r="E406" s="445"/>
      <c r="F406" s="463" t="s">
        <v>946</v>
      </c>
      <c r="G406" s="463"/>
      <c r="H406" s="463"/>
      <c r="I406" s="463"/>
      <c r="J406" s="463"/>
      <c r="K406" s="463"/>
      <c r="L406" s="463"/>
      <c r="M406" s="463"/>
      <c r="N406" s="463"/>
      <c r="O406" s="463"/>
      <c r="P406" s="463"/>
      <c r="Q406" s="463"/>
      <c r="R406" s="463"/>
      <c r="S406" s="463"/>
      <c r="T406" s="463"/>
      <c r="U406" s="463"/>
      <c r="V406" s="463"/>
      <c r="W406" s="463"/>
      <c r="X406" s="463"/>
      <c r="Y406" s="463"/>
      <c r="Z406" s="463"/>
      <c r="AA406" s="463"/>
      <c r="AB406" s="463"/>
      <c r="AC406" s="464" t="s">
        <v>189</v>
      </c>
      <c r="AD406" s="464"/>
      <c r="AE406" s="464"/>
      <c r="AF406" s="464"/>
      <c r="AG406" s="466">
        <f>VLOOKUP(C406,[4]MATERIAL!A$1:D$65536,4,FALSE)</f>
        <v>1.5</v>
      </c>
      <c r="AH406" s="467"/>
      <c r="AI406" s="467"/>
      <c r="AJ406" s="468"/>
      <c r="AK406" s="424">
        <v>0.5</v>
      </c>
      <c r="AL406" s="424"/>
      <c r="AM406" s="424"/>
      <c r="AN406" s="424"/>
      <c r="AO406" s="449">
        <f>ROUND(AG406*AK406,2)</f>
        <v>0.75</v>
      </c>
      <c r="AP406" s="449"/>
      <c r="AQ406" s="449"/>
      <c r="AR406" s="450"/>
    </row>
    <row r="407" spans="3:44" ht="18" customHeight="1">
      <c r="C407" s="444"/>
      <c r="D407" s="445"/>
      <c r="E407" s="445"/>
      <c r="F407" s="463"/>
      <c r="G407" s="463"/>
      <c r="H407" s="463"/>
      <c r="I407" s="463"/>
      <c r="J407" s="463"/>
      <c r="K407" s="463"/>
      <c r="L407" s="463"/>
      <c r="M407" s="463"/>
      <c r="N407" s="463"/>
      <c r="O407" s="463"/>
      <c r="P407" s="463"/>
      <c r="Q407" s="463"/>
      <c r="R407" s="463"/>
      <c r="S407" s="463"/>
      <c r="T407" s="463"/>
      <c r="U407" s="463"/>
      <c r="V407" s="463"/>
      <c r="W407" s="463"/>
      <c r="X407" s="463"/>
      <c r="Y407" s="463"/>
      <c r="Z407" s="463"/>
      <c r="AA407" s="463"/>
      <c r="AB407" s="463"/>
      <c r="AC407" s="464"/>
      <c r="AD407" s="464"/>
      <c r="AE407" s="464"/>
      <c r="AF407" s="464"/>
      <c r="AG407" s="465"/>
      <c r="AH407" s="465"/>
      <c r="AI407" s="465"/>
      <c r="AJ407" s="465"/>
      <c r="AK407" s="424"/>
      <c r="AL407" s="424"/>
      <c r="AM407" s="424"/>
      <c r="AN407" s="424"/>
      <c r="AO407" s="425"/>
      <c r="AP407" s="425"/>
      <c r="AQ407" s="425"/>
      <c r="AR407" s="426"/>
    </row>
    <row r="408" spans="3:44" ht="18" customHeight="1">
      <c r="C408" s="444"/>
      <c r="D408" s="445"/>
      <c r="E408" s="445"/>
      <c r="F408" s="463"/>
      <c r="G408" s="463"/>
      <c r="H408" s="463"/>
      <c r="I408" s="463"/>
      <c r="J408" s="463"/>
      <c r="K408" s="463"/>
      <c r="L408" s="463"/>
      <c r="M408" s="463"/>
      <c r="N408" s="463"/>
      <c r="O408" s="463"/>
      <c r="P408" s="463"/>
      <c r="Q408" s="463"/>
      <c r="R408" s="463"/>
      <c r="S408" s="463"/>
      <c r="T408" s="463"/>
      <c r="U408" s="463"/>
      <c r="V408" s="463"/>
      <c r="W408" s="463"/>
      <c r="X408" s="463"/>
      <c r="Y408" s="463"/>
      <c r="Z408" s="463"/>
      <c r="AA408" s="463"/>
      <c r="AB408" s="463"/>
      <c r="AC408" s="464"/>
      <c r="AD408" s="464"/>
      <c r="AE408" s="464"/>
      <c r="AF408" s="464"/>
      <c r="AG408" s="465"/>
      <c r="AH408" s="465"/>
      <c r="AI408" s="465"/>
      <c r="AJ408" s="465"/>
      <c r="AK408" s="424"/>
      <c r="AL408" s="424"/>
      <c r="AM408" s="424"/>
      <c r="AN408" s="424"/>
      <c r="AO408" s="425"/>
      <c r="AP408" s="425"/>
      <c r="AQ408" s="425"/>
      <c r="AR408" s="426"/>
    </row>
    <row r="409" spans="3:44" ht="18" customHeight="1">
      <c r="C409" s="444"/>
      <c r="D409" s="445"/>
      <c r="E409" s="445"/>
      <c r="F409" s="463"/>
      <c r="G409" s="463"/>
      <c r="H409" s="463"/>
      <c r="I409" s="463"/>
      <c r="J409" s="463"/>
      <c r="K409" s="463"/>
      <c r="L409" s="463"/>
      <c r="M409" s="463"/>
      <c r="N409" s="463"/>
      <c r="O409" s="463"/>
      <c r="P409" s="463"/>
      <c r="Q409" s="463"/>
      <c r="R409" s="463"/>
      <c r="S409" s="463"/>
      <c r="T409" s="463"/>
      <c r="U409" s="463"/>
      <c r="V409" s="463"/>
      <c r="W409" s="463"/>
      <c r="X409" s="463"/>
      <c r="Y409" s="463"/>
      <c r="Z409" s="463"/>
      <c r="AA409" s="463"/>
      <c r="AB409" s="463"/>
      <c r="AC409" s="464"/>
      <c r="AD409" s="464"/>
      <c r="AE409" s="464"/>
      <c r="AF409" s="464"/>
      <c r="AG409" s="465"/>
      <c r="AH409" s="465"/>
      <c r="AI409" s="465"/>
      <c r="AJ409" s="465"/>
      <c r="AK409" s="424"/>
      <c r="AL409" s="424"/>
      <c r="AM409" s="424"/>
      <c r="AN409" s="424"/>
      <c r="AO409" s="425"/>
      <c r="AP409" s="425"/>
      <c r="AQ409" s="425"/>
      <c r="AR409" s="426"/>
    </row>
    <row r="410" spans="3:44" ht="18" customHeight="1">
      <c r="C410" s="444"/>
      <c r="D410" s="445"/>
      <c r="E410" s="445"/>
      <c r="F410" s="463"/>
      <c r="G410" s="463"/>
      <c r="H410" s="463"/>
      <c r="I410" s="463"/>
      <c r="J410" s="463"/>
      <c r="K410" s="463"/>
      <c r="L410" s="463"/>
      <c r="M410" s="463"/>
      <c r="N410" s="463"/>
      <c r="O410" s="463"/>
      <c r="P410" s="463"/>
      <c r="Q410" s="463"/>
      <c r="R410" s="463"/>
      <c r="S410" s="463"/>
      <c r="T410" s="463"/>
      <c r="U410" s="463"/>
      <c r="V410" s="463"/>
      <c r="W410" s="463"/>
      <c r="X410" s="463"/>
      <c r="Y410" s="463"/>
      <c r="Z410" s="463"/>
      <c r="AA410" s="463"/>
      <c r="AB410" s="463"/>
      <c r="AC410" s="464"/>
      <c r="AD410" s="464"/>
      <c r="AE410" s="464"/>
      <c r="AF410" s="464"/>
      <c r="AG410" s="465"/>
      <c r="AH410" s="465"/>
      <c r="AI410" s="465"/>
      <c r="AJ410" s="465"/>
      <c r="AK410" s="424"/>
      <c r="AL410" s="424"/>
      <c r="AM410" s="424"/>
      <c r="AN410" s="424"/>
      <c r="AO410" s="425"/>
      <c r="AP410" s="425"/>
      <c r="AQ410" s="425"/>
      <c r="AR410" s="426"/>
    </row>
    <row r="411" spans="3:44" ht="18" customHeight="1">
      <c r="C411" s="427"/>
      <c r="D411" s="428"/>
      <c r="E411" s="428"/>
      <c r="F411" s="428"/>
      <c r="G411" s="428"/>
      <c r="H411" s="428"/>
      <c r="I411" s="428"/>
      <c r="J411" s="428"/>
      <c r="K411" s="428"/>
      <c r="L411" s="428"/>
      <c r="M411" s="428"/>
      <c r="N411" s="428"/>
      <c r="O411" s="428"/>
      <c r="P411" s="428"/>
      <c r="Q411" s="428"/>
      <c r="R411" s="428"/>
      <c r="S411" s="428"/>
      <c r="T411" s="428"/>
      <c r="U411" s="428"/>
      <c r="V411" s="428"/>
      <c r="W411" s="428"/>
      <c r="X411" s="429"/>
      <c r="Y411" s="430" t="s">
        <v>88</v>
      </c>
      <c r="Z411" s="431"/>
      <c r="AA411" s="431"/>
      <c r="AB411" s="431"/>
      <c r="AC411" s="431"/>
      <c r="AD411" s="431"/>
      <c r="AE411" s="431"/>
      <c r="AF411" s="431"/>
      <c r="AG411" s="431"/>
      <c r="AH411" s="431"/>
      <c r="AI411" s="431"/>
      <c r="AJ411" s="431"/>
      <c r="AK411" s="431"/>
      <c r="AL411" s="431"/>
      <c r="AM411" s="431"/>
      <c r="AN411" s="431"/>
      <c r="AO411" s="432">
        <f>SUM(AO403:AR410)</f>
        <v>9.59</v>
      </c>
      <c r="AP411" s="432"/>
      <c r="AQ411" s="432"/>
      <c r="AR411" s="433"/>
    </row>
    <row r="413" spans="3:44" ht="18" customHeight="1">
      <c r="C413" s="461" t="s">
        <v>43</v>
      </c>
      <c r="D413" s="451"/>
      <c r="E413" s="451"/>
      <c r="F413" s="451" t="s">
        <v>89</v>
      </c>
      <c r="G413" s="451"/>
      <c r="H413" s="451"/>
      <c r="I413" s="451"/>
      <c r="J413" s="451"/>
      <c r="K413" s="451"/>
      <c r="L413" s="451"/>
      <c r="M413" s="451"/>
      <c r="N413" s="451"/>
      <c r="O413" s="451"/>
      <c r="P413" s="451"/>
      <c r="Q413" s="451"/>
      <c r="R413" s="451"/>
      <c r="S413" s="451" t="s">
        <v>90</v>
      </c>
      <c r="T413" s="451"/>
      <c r="U413" s="451"/>
      <c r="V413" s="451" t="s">
        <v>91</v>
      </c>
      <c r="W413" s="451"/>
      <c r="X413" s="451"/>
      <c r="Y413" s="451" t="s">
        <v>92</v>
      </c>
      <c r="Z413" s="451"/>
      <c r="AA413" s="451"/>
      <c r="AB413" s="451"/>
      <c r="AC413" s="451"/>
      <c r="AD413" s="451"/>
      <c r="AE413" s="451" t="s">
        <v>93</v>
      </c>
      <c r="AF413" s="451"/>
      <c r="AG413" s="451"/>
      <c r="AH413" s="451" t="s">
        <v>94</v>
      </c>
      <c r="AI413" s="451"/>
      <c r="AJ413" s="451"/>
      <c r="AK413" s="451" t="s">
        <v>86</v>
      </c>
      <c r="AL413" s="451"/>
      <c r="AM413" s="451"/>
      <c r="AN413" s="451"/>
      <c r="AO413" s="451" t="s">
        <v>87</v>
      </c>
      <c r="AP413" s="451"/>
      <c r="AQ413" s="451"/>
      <c r="AR413" s="453"/>
    </row>
    <row r="414" spans="3:44" ht="18" customHeight="1">
      <c r="C414" s="462"/>
      <c r="D414" s="452"/>
      <c r="E414" s="452"/>
      <c r="F414" s="452"/>
      <c r="G414" s="452"/>
      <c r="H414" s="452"/>
      <c r="I414" s="452"/>
      <c r="J414" s="452"/>
      <c r="K414" s="452"/>
      <c r="L414" s="452"/>
      <c r="M414" s="452"/>
      <c r="N414" s="452"/>
      <c r="O414" s="452"/>
      <c r="P414" s="452"/>
      <c r="Q414" s="452"/>
      <c r="R414" s="452"/>
      <c r="S414" s="452"/>
      <c r="T414" s="452"/>
      <c r="U414" s="452"/>
      <c r="V414" s="452"/>
      <c r="W414" s="452"/>
      <c r="X414" s="452"/>
      <c r="Y414" s="452"/>
      <c r="Z414" s="452"/>
      <c r="AA414" s="452"/>
      <c r="AB414" s="452"/>
      <c r="AC414" s="452"/>
      <c r="AD414" s="452"/>
      <c r="AE414" s="452"/>
      <c r="AF414" s="452"/>
      <c r="AG414" s="452"/>
      <c r="AH414" s="452"/>
      <c r="AI414" s="452"/>
      <c r="AJ414" s="452"/>
      <c r="AK414" s="452"/>
      <c r="AL414" s="452"/>
      <c r="AM414" s="452"/>
      <c r="AN414" s="452"/>
      <c r="AO414" s="452"/>
      <c r="AP414" s="452"/>
      <c r="AQ414" s="452"/>
      <c r="AR414" s="454"/>
    </row>
    <row r="415" spans="3:44" ht="18" customHeight="1">
      <c r="C415" s="455"/>
      <c r="D415" s="456"/>
      <c r="E415" s="456"/>
      <c r="F415" s="446"/>
      <c r="G415" s="446"/>
      <c r="H415" s="446"/>
      <c r="I415" s="446"/>
      <c r="J415" s="446"/>
      <c r="K415" s="446"/>
      <c r="L415" s="446"/>
      <c r="M415" s="446"/>
      <c r="N415" s="446"/>
      <c r="O415" s="446"/>
      <c r="P415" s="446"/>
      <c r="Q415" s="446"/>
      <c r="R415" s="446"/>
      <c r="S415" s="458"/>
      <c r="T415" s="458"/>
      <c r="U415" s="458"/>
      <c r="V415" s="458"/>
      <c r="W415" s="458"/>
      <c r="X415" s="458"/>
      <c r="Y415" s="545"/>
      <c r="Z415" s="545"/>
      <c r="AA415" s="545"/>
      <c r="AB415" s="545"/>
      <c r="AC415" s="545"/>
      <c r="AD415" s="545"/>
      <c r="AE415" s="425"/>
      <c r="AF415" s="425"/>
      <c r="AG415" s="425"/>
      <c r="AH415" s="449"/>
      <c r="AI415" s="449"/>
      <c r="AJ415" s="449"/>
      <c r="AK415" s="460"/>
      <c r="AL415" s="460"/>
      <c r="AM415" s="460"/>
      <c r="AN415" s="460"/>
      <c r="AO415" s="449"/>
      <c r="AP415" s="449"/>
      <c r="AQ415" s="449"/>
      <c r="AR415" s="450"/>
    </row>
    <row r="416" spans="3:44" ht="18" customHeight="1">
      <c r="C416" s="444"/>
      <c r="D416" s="445"/>
      <c r="E416" s="445"/>
      <c r="F416" s="446"/>
      <c r="G416" s="446"/>
      <c r="H416" s="446"/>
      <c r="I416" s="446"/>
      <c r="J416" s="446"/>
      <c r="K416" s="446"/>
      <c r="L416" s="446"/>
      <c r="M416" s="446"/>
      <c r="N416" s="446"/>
      <c r="O416" s="446"/>
      <c r="P416" s="446"/>
      <c r="Q416" s="446"/>
      <c r="R416" s="446"/>
      <c r="S416" s="447"/>
      <c r="T416" s="447"/>
      <c r="U416" s="447"/>
      <c r="V416" s="447"/>
      <c r="W416" s="447"/>
      <c r="X416" s="447"/>
      <c r="Y416" s="448"/>
      <c r="Z416" s="448"/>
      <c r="AA416" s="448"/>
      <c r="AB416" s="448"/>
      <c r="AC416" s="448"/>
      <c r="AD416" s="448"/>
      <c r="AE416" s="425"/>
      <c r="AF416" s="425"/>
      <c r="AG416" s="425"/>
      <c r="AH416" s="425"/>
      <c r="AI416" s="425"/>
      <c r="AJ416" s="425"/>
      <c r="AK416" s="424"/>
      <c r="AL416" s="424"/>
      <c r="AM416" s="424"/>
      <c r="AN416" s="424"/>
      <c r="AO416" s="425"/>
      <c r="AP416" s="425"/>
      <c r="AQ416" s="425"/>
      <c r="AR416" s="426"/>
    </row>
    <row r="417" spans="1:44" ht="18" customHeight="1">
      <c r="C417" s="444"/>
      <c r="D417" s="445"/>
      <c r="E417" s="445"/>
      <c r="F417" s="446"/>
      <c r="G417" s="446"/>
      <c r="H417" s="446"/>
      <c r="I417" s="446"/>
      <c r="J417" s="446"/>
      <c r="K417" s="446"/>
      <c r="L417" s="446"/>
      <c r="M417" s="446"/>
      <c r="N417" s="446"/>
      <c r="O417" s="446"/>
      <c r="P417" s="446"/>
      <c r="Q417" s="446"/>
      <c r="R417" s="446"/>
      <c r="S417" s="447"/>
      <c r="T417" s="447"/>
      <c r="U417" s="447"/>
      <c r="V417" s="447"/>
      <c r="W417" s="447"/>
      <c r="X417" s="447"/>
      <c r="Y417" s="448"/>
      <c r="Z417" s="448"/>
      <c r="AA417" s="448"/>
      <c r="AB417" s="448"/>
      <c r="AC417" s="448"/>
      <c r="AD417" s="448"/>
      <c r="AE417" s="425"/>
      <c r="AF417" s="425"/>
      <c r="AG417" s="425"/>
      <c r="AH417" s="425"/>
      <c r="AI417" s="425"/>
      <c r="AJ417" s="425"/>
      <c r="AK417" s="424"/>
      <c r="AL417" s="424"/>
      <c r="AM417" s="424"/>
      <c r="AN417" s="424"/>
      <c r="AO417" s="425"/>
      <c r="AP417" s="425"/>
      <c r="AQ417" s="425"/>
      <c r="AR417" s="426"/>
    </row>
    <row r="418" spans="1:44" ht="18" customHeight="1">
      <c r="C418" s="444"/>
      <c r="D418" s="445"/>
      <c r="E418" s="445"/>
      <c r="F418" s="446"/>
      <c r="G418" s="446"/>
      <c r="H418" s="446"/>
      <c r="I418" s="446"/>
      <c r="J418" s="446"/>
      <c r="K418" s="446"/>
      <c r="L418" s="446"/>
      <c r="M418" s="446"/>
      <c r="N418" s="446"/>
      <c r="O418" s="446"/>
      <c r="P418" s="446"/>
      <c r="Q418" s="446"/>
      <c r="R418" s="446"/>
      <c r="S418" s="447"/>
      <c r="T418" s="447"/>
      <c r="U418" s="447"/>
      <c r="V418" s="447"/>
      <c r="W418" s="447"/>
      <c r="X418" s="447"/>
      <c r="Y418" s="448"/>
      <c r="Z418" s="448"/>
      <c r="AA418" s="448"/>
      <c r="AB418" s="448"/>
      <c r="AC418" s="448"/>
      <c r="AD418" s="448"/>
      <c r="AE418" s="425"/>
      <c r="AF418" s="425"/>
      <c r="AG418" s="425"/>
      <c r="AH418" s="425"/>
      <c r="AI418" s="425"/>
      <c r="AJ418" s="425"/>
      <c r="AK418" s="424"/>
      <c r="AL418" s="424"/>
      <c r="AM418" s="424"/>
      <c r="AN418" s="424"/>
      <c r="AO418" s="425"/>
      <c r="AP418" s="425"/>
      <c r="AQ418" s="425"/>
      <c r="AR418" s="426"/>
    </row>
    <row r="419" spans="1:44" ht="18" customHeight="1">
      <c r="C419" s="444"/>
      <c r="D419" s="445"/>
      <c r="E419" s="445"/>
      <c r="F419" s="446"/>
      <c r="G419" s="446"/>
      <c r="H419" s="446"/>
      <c r="I419" s="446"/>
      <c r="J419" s="446"/>
      <c r="K419" s="446"/>
      <c r="L419" s="446"/>
      <c r="M419" s="446"/>
      <c r="N419" s="446"/>
      <c r="O419" s="446"/>
      <c r="P419" s="446"/>
      <c r="Q419" s="446"/>
      <c r="R419" s="446"/>
      <c r="S419" s="447"/>
      <c r="T419" s="447"/>
      <c r="U419" s="447"/>
      <c r="V419" s="447"/>
      <c r="W419" s="447"/>
      <c r="X419" s="447"/>
      <c r="Y419" s="448"/>
      <c r="Z419" s="448"/>
      <c r="AA419" s="448"/>
      <c r="AB419" s="448"/>
      <c r="AC419" s="448"/>
      <c r="AD419" s="448"/>
      <c r="AE419" s="425"/>
      <c r="AF419" s="425"/>
      <c r="AG419" s="425"/>
      <c r="AH419" s="425"/>
      <c r="AI419" s="425"/>
      <c r="AJ419" s="425"/>
      <c r="AK419" s="424"/>
      <c r="AL419" s="424"/>
      <c r="AM419" s="424"/>
      <c r="AN419" s="424"/>
      <c r="AO419" s="425"/>
      <c r="AP419" s="425"/>
      <c r="AQ419" s="425"/>
      <c r="AR419" s="426"/>
    </row>
    <row r="420" spans="1:44" ht="18" customHeight="1">
      <c r="C420" s="444"/>
      <c r="D420" s="445"/>
      <c r="E420" s="445"/>
      <c r="F420" s="446"/>
      <c r="G420" s="446"/>
      <c r="H420" s="446"/>
      <c r="I420" s="446"/>
      <c r="J420" s="446"/>
      <c r="K420" s="446"/>
      <c r="L420" s="446"/>
      <c r="M420" s="446"/>
      <c r="N420" s="446"/>
      <c r="O420" s="446"/>
      <c r="P420" s="446"/>
      <c r="Q420" s="446"/>
      <c r="R420" s="446"/>
      <c r="S420" s="447"/>
      <c r="T420" s="447"/>
      <c r="U420" s="447"/>
      <c r="V420" s="447"/>
      <c r="W420" s="447"/>
      <c r="X420" s="447"/>
      <c r="Y420" s="448"/>
      <c r="Z420" s="448"/>
      <c r="AA420" s="448"/>
      <c r="AB420" s="448"/>
      <c r="AC420" s="448"/>
      <c r="AD420" s="448"/>
      <c r="AE420" s="425"/>
      <c r="AF420" s="425"/>
      <c r="AG420" s="425"/>
      <c r="AH420" s="425"/>
      <c r="AI420" s="425"/>
      <c r="AJ420" s="425"/>
      <c r="AK420" s="424"/>
      <c r="AL420" s="424"/>
      <c r="AM420" s="424"/>
      <c r="AN420" s="424"/>
      <c r="AO420" s="425"/>
      <c r="AP420" s="425"/>
      <c r="AQ420" s="425"/>
      <c r="AR420" s="426"/>
    </row>
    <row r="421" spans="1:44" ht="18" customHeight="1">
      <c r="C421" s="444"/>
      <c r="D421" s="445"/>
      <c r="E421" s="445"/>
      <c r="F421" s="446"/>
      <c r="G421" s="446"/>
      <c r="H421" s="446"/>
      <c r="I421" s="446"/>
      <c r="J421" s="446"/>
      <c r="K421" s="446"/>
      <c r="L421" s="446"/>
      <c r="M421" s="446"/>
      <c r="N421" s="446"/>
      <c r="O421" s="446"/>
      <c r="P421" s="446"/>
      <c r="Q421" s="446"/>
      <c r="R421" s="446"/>
      <c r="S421" s="447"/>
      <c r="T421" s="447"/>
      <c r="U421" s="447"/>
      <c r="V421" s="447"/>
      <c r="W421" s="447"/>
      <c r="X421" s="447"/>
      <c r="Y421" s="448"/>
      <c r="Z421" s="448"/>
      <c r="AA421" s="448"/>
      <c r="AB421" s="448"/>
      <c r="AC421" s="448"/>
      <c r="AD421" s="448"/>
      <c r="AE421" s="425"/>
      <c r="AF421" s="425"/>
      <c r="AG421" s="425"/>
      <c r="AH421" s="425"/>
      <c r="AI421" s="425"/>
      <c r="AJ421" s="425"/>
      <c r="AK421" s="424"/>
      <c r="AL421" s="424"/>
      <c r="AM421" s="424"/>
      <c r="AN421" s="424"/>
      <c r="AO421" s="425"/>
      <c r="AP421" s="425"/>
      <c r="AQ421" s="425"/>
      <c r="AR421" s="426"/>
    </row>
    <row r="422" spans="1:44" ht="18" customHeight="1">
      <c r="C422" s="444"/>
      <c r="D422" s="445"/>
      <c r="E422" s="445"/>
      <c r="F422" s="446"/>
      <c r="G422" s="446"/>
      <c r="H422" s="446"/>
      <c r="I422" s="446"/>
      <c r="J422" s="446"/>
      <c r="K422" s="446"/>
      <c r="L422" s="446"/>
      <c r="M422" s="446"/>
      <c r="N422" s="446"/>
      <c r="O422" s="446"/>
      <c r="P422" s="446"/>
      <c r="Q422" s="446"/>
      <c r="R422" s="446"/>
      <c r="S422" s="447"/>
      <c r="T422" s="447"/>
      <c r="U422" s="447"/>
      <c r="V422" s="447"/>
      <c r="W422" s="447"/>
      <c r="X422" s="447"/>
      <c r="Y422" s="448"/>
      <c r="Z422" s="448"/>
      <c r="AA422" s="448"/>
      <c r="AB422" s="448"/>
      <c r="AC422" s="448"/>
      <c r="AD422" s="448"/>
      <c r="AE422" s="425"/>
      <c r="AF422" s="425"/>
      <c r="AG422" s="425"/>
      <c r="AH422" s="425"/>
      <c r="AI422" s="425"/>
      <c r="AJ422" s="425"/>
      <c r="AK422" s="424"/>
      <c r="AL422" s="424"/>
      <c r="AM422" s="424"/>
      <c r="AN422" s="424"/>
      <c r="AO422" s="425"/>
      <c r="AP422" s="425"/>
      <c r="AQ422" s="425"/>
      <c r="AR422" s="426"/>
    </row>
    <row r="423" spans="1:44" ht="18" customHeight="1">
      <c r="C423" s="427"/>
      <c r="D423" s="428"/>
      <c r="E423" s="428"/>
      <c r="F423" s="428"/>
      <c r="G423" s="428"/>
      <c r="H423" s="428"/>
      <c r="I423" s="428"/>
      <c r="J423" s="428"/>
      <c r="K423" s="428"/>
      <c r="L423" s="428"/>
      <c r="M423" s="428"/>
      <c r="N423" s="428"/>
      <c r="O423" s="428"/>
      <c r="P423" s="428"/>
      <c r="Q423" s="428"/>
      <c r="R423" s="428"/>
      <c r="S423" s="428"/>
      <c r="T423" s="428"/>
      <c r="U423" s="428"/>
      <c r="V423" s="428"/>
      <c r="W423" s="428"/>
      <c r="X423" s="429"/>
      <c r="Y423" s="430" t="s">
        <v>95</v>
      </c>
      <c r="Z423" s="431"/>
      <c r="AA423" s="431"/>
      <c r="AB423" s="431"/>
      <c r="AC423" s="431"/>
      <c r="AD423" s="431"/>
      <c r="AE423" s="431"/>
      <c r="AF423" s="431"/>
      <c r="AG423" s="431"/>
      <c r="AH423" s="431"/>
      <c r="AI423" s="431"/>
      <c r="AJ423" s="431"/>
      <c r="AK423" s="431"/>
      <c r="AL423" s="431"/>
      <c r="AM423" s="431"/>
      <c r="AN423" s="431"/>
      <c r="AO423" s="432">
        <f>SUM(AO415:AR422)</f>
        <v>0</v>
      </c>
      <c r="AP423" s="432"/>
      <c r="AQ423" s="432"/>
      <c r="AR423" s="433"/>
    </row>
    <row r="425" spans="1:44" ht="18" customHeight="1">
      <c r="C425" s="434"/>
      <c r="D425" s="434"/>
      <c r="E425" s="434"/>
      <c r="F425" s="434"/>
      <c r="G425" s="434"/>
      <c r="H425" s="434"/>
      <c r="I425" s="434"/>
      <c r="J425" s="434"/>
      <c r="K425" s="434"/>
      <c r="L425" s="434"/>
      <c r="M425" s="434"/>
      <c r="N425" s="434"/>
      <c r="O425" s="434"/>
      <c r="P425" s="434"/>
      <c r="Q425" s="434"/>
      <c r="R425" s="434"/>
      <c r="S425" s="434"/>
      <c r="T425" s="434"/>
      <c r="U425" s="434"/>
      <c r="V425" s="434"/>
      <c r="W425" s="434"/>
      <c r="X425" s="434"/>
      <c r="Y425" s="435" t="s">
        <v>96</v>
      </c>
      <c r="Z425" s="436"/>
      <c r="AA425" s="436"/>
      <c r="AB425" s="436"/>
      <c r="AC425" s="436"/>
      <c r="AD425" s="436"/>
      <c r="AE425" s="436"/>
      <c r="AF425" s="436"/>
      <c r="AG425" s="436"/>
      <c r="AH425" s="436"/>
      <c r="AI425" s="436"/>
      <c r="AJ425" s="436"/>
      <c r="AK425" s="436"/>
      <c r="AL425" s="436"/>
      <c r="AM425" s="436"/>
      <c r="AN425" s="436"/>
      <c r="AO425" s="437">
        <f>AO399+AO411+AO423</f>
        <v>10.83</v>
      </c>
      <c r="AP425" s="437"/>
      <c r="AQ425" s="437"/>
      <c r="AR425" s="438"/>
    </row>
    <row r="426" spans="1:44" ht="18" customHeight="1">
      <c r="C426" s="434"/>
      <c r="D426" s="434"/>
      <c r="E426" s="434"/>
      <c r="F426" s="434"/>
      <c r="G426" s="434"/>
      <c r="H426" s="434"/>
      <c r="I426" s="434"/>
      <c r="J426" s="434"/>
      <c r="K426" s="434"/>
      <c r="L426" s="434"/>
      <c r="M426" s="434"/>
      <c r="N426" s="434"/>
      <c r="O426" s="434"/>
      <c r="P426" s="434"/>
      <c r="Q426" s="434"/>
      <c r="R426" s="434"/>
      <c r="S426" s="434"/>
      <c r="T426" s="434"/>
      <c r="U426" s="434"/>
      <c r="V426" s="434"/>
      <c r="W426" s="434"/>
      <c r="X426" s="434"/>
      <c r="Y426" s="439" t="s">
        <v>97</v>
      </c>
      <c r="Z426" s="440"/>
      <c r="AA426" s="440"/>
      <c r="AB426" s="440"/>
      <c r="AC426" s="440"/>
      <c r="AD426" s="440"/>
      <c r="AE426" s="440"/>
      <c r="AF426" s="440"/>
      <c r="AG426" s="441"/>
      <c r="AH426" s="442">
        <v>0.2031</v>
      </c>
      <c r="AI426" s="442"/>
      <c r="AJ426" s="442"/>
      <c r="AK426" s="442"/>
      <c r="AL426" s="442"/>
      <c r="AM426" s="442"/>
      <c r="AN426" s="443"/>
      <c r="AO426" s="413">
        <f>ROUND(AO425*AH426,2)</f>
        <v>2.2000000000000002</v>
      </c>
      <c r="AP426" s="413"/>
      <c r="AQ426" s="413"/>
      <c r="AR426" s="414"/>
    </row>
    <row r="427" spans="1:44" ht="18" customHeight="1">
      <c r="A427" s="415" t="s">
        <v>938</v>
      </c>
      <c r="B427" s="415"/>
      <c r="C427" s="434"/>
      <c r="D427" s="434"/>
      <c r="E427" s="434"/>
      <c r="F427" s="434"/>
      <c r="G427" s="434"/>
      <c r="H427" s="434"/>
      <c r="I427" s="434"/>
      <c r="J427" s="434"/>
      <c r="K427" s="434"/>
      <c r="L427" s="434"/>
      <c r="M427" s="434"/>
      <c r="N427" s="434"/>
      <c r="O427" s="434"/>
      <c r="P427" s="434"/>
      <c r="Q427" s="434"/>
      <c r="R427" s="434"/>
      <c r="S427" s="434"/>
      <c r="T427" s="434"/>
      <c r="U427" s="434"/>
      <c r="V427" s="434"/>
      <c r="W427" s="434"/>
      <c r="X427" s="434"/>
      <c r="Y427" s="416" t="s">
        <v>98</v>
      </c>
      <c r="Z427" s="417"/>
      <c r="AA427" s="417"/>
      <c r="AB427" s="417"/>
      <c r="AC427" s="417"/>
      <c r="AD427" s="417"/>
      <c r="AE427" s="417"/>
      <c r="AF427" s="417"/>
      <c r="AG427" s="417"/>
      <c r="AH427" s="417"/>
      <c r="AI427" s="417"/>
      <c r="AJ427" s="417"/>
      <c r="AK427" s="417"/>
      <c r="AL427" s="417"/>
      <c r="AM427" s="417"/>
      <c r="AN427" s="417"/>
      <c r="AO427" s="418">
        <f>SUM(AO425:AR426)</f>
        <v>13.030000000000001</v>
      </c>
      <c r="AP427" s="418"/>
      <c r="AQ427" s="418"/>
      <c r="AR427" s="419"/>
    </row>
    <row r="429" spans="1:44" ht="18" customHeight="1">
      <c r="C429" s="420" t="s">
        <v>99</v>
      </c>
      <c r="D429" s="421"/>
      <c r="E429" s="421"/>
      <c r="F429" s="421"/>
      <c r="G429" s="421"/>
      <c r="H429" s="421"/>
      <c r="I429" s="422"/>
      <c r="J429" s="422"/>
      <c r="K429" s="422"/>
      <c r="L429" s="422"/>
      <c r="M429" s="422"/>
      <c r="N429" s="422"/>
      <c r="O429" s="422"/>
      <c r="P429" s="422"/>
      <c r="Q429" s="422"/>
      <c r="R429" s="422"/>
      <c r="S429" s="422"/>
      <c r="T429" s="422"/>
      <c r="U429" s="422"/>
      <c r="V429" s="422"/>
      <c r="W429" s="422"/>
      <c r="X429" s="422"/>
      <c r="Y429" s="422"/>
      <c r="Z429" s="422"/>
      <c r="AA429" s="422"/>
      <c r="AB429" s="422"/>
      <c r="AC429" s="422"/>
      <c r="AD429" s="422"/>
      <c r="AE429" s="422"/>
      <c r="AF429" s="422"/>
      <c r="AG429" s="422"/>
      <c r="AH429" s="422"/>
      <c r="AI429" s="422"/>
      <c r="AJ429" s="422"/>
      <c r="AK429" s="422"/>
      <c r="AL429" s="422"/>
      <c r="AM429" s="422"/>
      <c r="AN429" s="422"/>
      <c r="AO429" s="422"/>
      <c r="AP429" s="422"/>
      <c r="AQ429" s="422"/>
      <c r="AR429" s="423"/>
    </row>
    <row r="430" spans="1:44" ht="18" customHeight="1">
      <c r="C430" s="411"/>
      <c r="D430" s="412"/>
      <c r="E430" s="412"/>
      <c r="F430" s="412"/>
      <c r="G430" s="412"/>
      <c r="H430" s="412"/>
      <c r="I430" s="409"/>
      <c r="J430" s="409"/>
      <c r="K430" s="409"/>
      <c r="L430" s="409"/>
      <c r="M430" s="409"/>
      <c r="N430" s="409"/>
      <c r="O430" s="409"/>
      <c r="P430" s="409"/>
      <c r="Q430" s="409"/>
      <c r="R430" s="409"/>
      <c r="S430" s="409"/>
      <c r="T430" s="409"/>
      <c r="U430" s="409"/>
      <c r="V430" s="409"/>
      <c r="W430" s="409"/>
      <c r="X430" s="409"/>
      <c r="Y430" s="409"/>
      <c r="Z430" s="409"/>
      <c r="AA430" s="409"/>
      <c r="AB430" s="409"/>
      <c r="AC430" s="409"/>
      <c r="AD430" s="409"/>
      <c r="AE430" s="409"/>
      <c r="AF430" s="409"/>
      <c r="AG430" s="409"/>
      <c r="AH430" s="409"/>
      <c r="AI430" s="409"/>
      <c r="AJ430" s="409"/>
      <c r="AK430" s="409"/>
      <c r="AL430" s="409"/>
      <c r="AM430" s="409"/>
      <c r="AN430" s="409"/>
      <c r="AO430" s="409"/>
      <c r="AP430" s="409"/>
      <c r="AQ430" s="409"/>
      <c r="AR430" s="410"/>
    </row>
    <row r="431" spans="1:44" ht="18" customHeight="1">
      <c r="C431" s="411"/>
      <c r="D431" s="412"/>
      <c r="E431" s="412"/>
      <c r="F431" s="412"/>
      <c r="G431" s="412"/>
      <c r="H431" s="412"/>
      <c r="I431" s="409"/>
      <c r="J431" s="409"/>
      <c r="K431" s="409"/>
      <c r="L431" s="409"/>
      <c r="M431" s="409"/>
      <c r="N431" s="409"/>
      <c r="O431" s="409"/>
      <c r="P431" s="409"/>
      <c r="Q431" s="409"/>
      <c r="R431" s="409"/>
      <c r="S431" s="409"/>
      <c r="T431" s="409"/>
      <c r="U431" s="409"/>
      <c r="V431" s="409"/>
      <c r="W431" s="409"/>
      <c r="X431" s="409"/>
      <c r="Y431" s="409"/>
      <c r="Z431" s="409"/>
      <c r="AA431" s="409"/>
      <c r="AB431" s="409"/>
      <c r="AC431" s="409"/>
      <c r="AD431" s="409"/>
      <c r="AE431" s="409"/>
      <c r="AF431" s="409"/>
      <c r="AG431" s="409"/>
      <c r="AH431" s="409"/>
      <c r="AI431" s="409"/>
      <c r="AJ431" s="409"/>
      <c r="AK431" s="409"/>
      <c r="AL431" s="409"/>
      <c r="AM431" s="409"/>
      <c r="AN431" s="409"/>
      <c r="AO431" s="409"/>
      <c r="AP431" s="409"/>
      <c r="AQ431" s="409"/>
      <c r="AR431" s="410"/>
    </row>
    <row r="432" spans="1:44" ht="18" customHeight="1">
      <c r="C432" s="411"/>
      <c r="D432" s="412"/>
      <c r="E432" s="412"/>
      <c r="F432" s="412"/>
      <c r="G432" s="412"/>
      <c r="H432" s="412"/>
      <c r="I432" s="409"/>
      <c r="J432" s="409"/>
      <c r="K432" s="409"/>
      <c r="L432" s="409"/>
      <c r="M432" s="409"/>
      <c r="N432" s="409"/>
      <c r="O432" s="409"/>
      <c r="P432" s="409"/>
      <c r="Q432" s="409"/>
      <c r="R432" s="409"/>
      <c r="S432" s="409"/>
      <c r="T432" s="409"/>
      <c r="U432" s="409"/>
      <c r="V432" s="409"/>
      <c r="W432" s="409"/>
      <c r="X432" s="409"/>
      <c r="Y432" s="409"/>
      <c r="Z432" s="409"/>
      <c r="AA432" s="409"/>
      <c r="AB432" s="409"/>
      <c r="AC432" s="409"/>
      <c r="AD432" s="409"/>
      <c r="AE432" s="409"/>
      <c r="AF432" s="409"/>
      <c r="AG432" s="409"/>
      <c r="AH432" s="409"/>
      <c r="AI432" s="409"/>
      <c r="AJ432" s="409"/>
      <c r="AK432" s="409"/>
      <c r="AL432" s="409"/>
      <c r="AM432" s="409"/>
      <c r="AN432" s="409"/>
      <c r="AO432" s="409"/>
      <c r="AP432" s="409"/>
      <c r="AQ432" s="409"/>
      <c r="AR432" s="410"/>
    </row>
    <row r="433" spans="3:44" ht="18" customHeight="1">
      <c r="C433" s="411"/>
      <c r="D433" s="412"/>
      <c r="E433" s="412"/>
      <c r="F433" s="412"/>
      <c r="G433" s="412"/>
      <c r="H433" s="412"/>
      <c r="I433" s="409"/>
      <c r="J433" s="409"/>
      <c r="K433" s="409"/>
      <c r="L433" s="409"/>
      <c r="M433" s="409"/>
      <c r="N433" s="409"/>
      <c r="O433" s="409"/>
      <c r="P433" s="409"/>
      <c r="Q433" s="409"/>
      <c r="R433" s="409"/>
      <c r="S433" s="409"/>
      <c r="T433" s="409"/>
      <c r="U433" s="409"/>
      <c r="V433" s="409"/>
      <c r="W433" s="409"/>
      <c r="X433" s="409"/>
      <c r="Y433" s="409"/>
      <c r="Z433" s="409"/>
      <c r="AA433" s="409"/>
      <c r="AB433" s="409"/>
      <c r="AC433" s="409"/>
      <c r="AD433" s="409"/>
      <c r="AE433" s="409"/>
      <c r="AF433" s="409"/>
      <c r="AG433" s="409"/>
      <c r="AH433" s="409"/>
      <c r="AI433" s="409"/>
      <c r="AJ433" s="409"/>
      <c r="AK433" s="409"/>
      <c r="AL433" s="409"/>
      <c r="AM433" s="409"/>
      <c r="AN433" s="409"/>
      <c r="AO433" s="409"/>
      <c r="AP433" s="409"/>
      <c r="AQ433" s="409"/>
      <c r="AR433" s="410"/>
    </row>
    <row r="434" spans="3:44" ht="18" customHeight="1">
      <c r="C434" s="385"/>
      <c r="D434" s="386"/>
      <c r="E434" s="386"/>
      <c r="F434" s="386"/>
      <c r="G434" s="386"/>
      <c r="H434" s="386"/>
      <c r="I434" s="387"/>
      <c r="J434" s="387"/>
      <c r="K434" s="387"/>
      <c r="L434" s="387"/>
      <c r="M434" s="387"/>
      <c r="N434" s="387"/>
      <c r="O434" s="387"/>
      <c r="P434" s="387"/>
      <c r="Q434" s="387"/>
      <c r="R434" s="387"/>
      <c r="S434" s="387"/>
      <c r="T434" s="387"/>
      <c r="U434" s="387"/>
      <c r="V434" s="387"/>
      <c r="W434" s="387"/>
      <c r="X434" s="387"/>
      <c r="Y434" s="387"/>
      <c r="Z434" s="387"/>
      <c r="AA434" s="387"/>
      <c r="AB434" s="387"/>
      <c r="AC434" s="387"/>
      <c r="AD434" s="387"/>
      <c r="AE434" s="387"/>
      <c r="AF434" s="387"/>
      <c r="AG434" s="387"/>
      <c r="AH434" s="387"/>
      <c r="AI434" s="387"/>
      <c r="AJ434" s="387"/>
      <c r="AK434" s="387"/>
      <c r="AL434" s="387"/>
      <c r="AM434" s="387"/>
      <c r="AN434" s="387"/>
      <c r="AO434" s="387"/>
      <c r="AP434" s="387"/>
      <c r="AQ434" s="387"/>
      <c r="AR434" s="388"/>
    </row>
    <row r="436" spans="3:44" ht="18" customHeight="1">
      <c r="C436" s="389" t="s">
        <v>100</v>
      </c>
      <c r="D436" s="390"/>
      <c r="E436" s="390"/>
      <c r="F436" s="390"/>
      <c r="G436" s="390"/>
      <c r="H436" s="390"/>
      <c r="I436" s="390"/>
      <c r="J436" s="390"/>
      <c r="K436" s="390"/>
      <c r="L436" s="390"/>
      <c r="M436" s="390"/>
      <c r="N436" s="390"/>
      <c r="O436" s="390"/>
      <c r="P436" s="390"/>
      <c r="Q436" s="390"/>
      <c r="R436" s="390"/>
      <c r="S436" s="390"/>
      <c r="T436" s="390"/>
      <c r="U436" s="390"/>
      <c r="V436" s="390"/>
      <c r="W436" s="390"/>
      <c r="X436" s="390"/>
      <c r="Y436" s="390"/>
      <c r="Z436" s="390"/>
      <c r="AA436" s="391"/>
      <c r="AB436" s="392" t="str">
        <f>[4]C.UNIT.SERV.!$E$5</f>
        <v>DATA-BASE:      MAIO/2011/PR</v>
      </c>
      <c r="AC436" s="393"/>
      <c r="AD436" s="393"/>
      <c r="AE436" s="393"/>
      <c r="AF436" s="393"/>
      <c r="AG436" s="393"/>
      <c r="AH436" s="393"/>
      <c r="AI436" s="394"/>
      <c r="AJ436" s="392"/>
      <c r="AK436" s="393"/>
      <c r="AL436" s="393"/>
      <c r="AM436" s="393"/>
      <c r="AN436" s="393"/>
      <c r="AO436" s="393"/>
      <c r="AP436" s="393"/>
      <c r="AQ436" s="393"/>
      <c r="AR436" s="401"/>
    </row>
    <row r="437" spans="3:44" ht="18" customHeight="1">
      <c r="C437" s="404" t="s">
        <v>101</v>
      </c>
      <c r="D437" s="405"/>
      <c r="E437" s="405"/>
      <c r="F437" s="405"/>
      <c r="G437" s="405" t="s">
        <v>283</v>
      </c>
      <c r="H437" s="405"/>
      <c r="I437" s="405"/>
      <c r="J437" s="405"/>
      <c r="K437" s="405"/>
      <c r="L437" s="405"/>
      <c r="M437" s="405"/>
      <c r="N437" s="405"/>
      <c r="O437" s="405"/>
      <c r="P437" s="405"/>
      <c r="Q437" s="405"/>
      <c r="R437" s="405"/>
      <c r="S437" s="405"/>
      <c r="T437" s="405"/>
      <c r="U437" s="405"/>
      <c r="V437" s="405"/>
      <c r="W437" s="405"/>
      <c r="X437" s="405"/>
      <c r="Y437" s="405"/>
      <c r="Z437" s="405"/>
      <c r="AA437" s="406"/>
      <c r="AB437" s="395"/>
      <c r="AC437" s="396"/>
      <c r="AD437" s="396"/>
      <c r="AE437" s="396"/>
      <c r="AF437" s="396"/>
      <c r="AG437" s="396"/>
      <c r="AH437" s="396"/>
      <c r="AI437" s="397"/>
      <c r="AJ437" s="395"/>
      <c r="AK437" s="396"/>
      <c r="AL437" s="396"/>
      <c r="AM437" s="396"/>
      <c r="AN437" s="396"/>
      <c r="AO437" s="396"/>
      <c r="AP437" s="396"/>
      <c r="AQ437" s="396"/>
      <c r="AR437" s="402"/>
    </row>
    <row r="438" spans="3:44" ht="18" customHeight="1">
      <c r="C438" s="404" t="s">
        <v>102</v>
      </c>
      <c r="D438" s="405"/>
      <c r="E438" s="405"/>
      <c r="F438" s="405"/>
      <c r="G438" s="405"/>
      <c r="H438" s="405"/>
      <c r="I438" s="405"/>
      <c r="J438" s="405"/>
      <c r="K438" s="405"/>
      <c r="L438" s="405"/>
      <c r="M438" s="405"/>
      <c r="N438" s="405"/>
      <c r="O438" s="405"/>
      <c r="P438" s="405"/>
      <c r="Q438" s="405"/>
      <c r="R438" s="405"/>
      <c r="S438" s="405"/>
      <c r="T438" s="405"/>
      <c r="U438" s="405"/>
      <c r="V438" s="405"/>
      <c r="W438" s="405"/>
      <c r="X438" s="405"/>
      <c r="Y438" s="405"/>
      <c r="Z438" s="405"/>
      <c r="AA438" s="406"/>
      <c r="AB438" s="395"/>
      <c r="AC438" s="396"/>
      <c r="AD438" s="396"/>
      <c r="AE438" s="396"/>
      <c r="AF438" s="396"/>
      <c r="AG438" s="396"/>
      <c r="AH438" s="396"/>
      <c r="AI438" s="397"/>
      <c r="AJ438" s="395"/>
      <c r="AK438" s="396"/>
      <c r="AL438" s="396"/>
      <c r="AM438" s="396"/>
      <c r="AN438" s="396"/>
      <c r="AO438" s="396"/>
      <c r="AP438" s="396"/>
      <c r="AQ438" s="396"/>
      <c r="AR438" s="402"/>
    </row>
    <row r="439" spans="3:44" ht="18" customHeight="1">
      <c r="C439" s="407"/>
      <c r="D439" s="408"/>
      <c r="E439" s="408"/>
      <c r="F439" s="408"/>
      <c r="G439" s="408"/>
      <c r="H439" s="408"/>
      <c r="I439" s="408"/>
      <c r="J439" s="408"/>
      <c r="K439" s="408"/>
      <c r="L439" s="408"/>
      <c r="M439" s="408"/>
      <c r="N439" s="408"/>
      <c r="O439" s="408"/>
      <c r="P439" s="408"/>
      <c r="Q439" s="408"/>
      <c r="R439" s="408"/>
      <c r="S439" s="408"/>
      <c r="T439" s="408"/>
      <c r="U439" s="408"/>
      <c r="V439" s="408"/>
      <c r="W439" s="408"/>
      <c r="X439" s="408"/>
      <c r="Y439" s="408"/>
      <c r="Z439" s="408"/>
      <c r="AA439" s="408"/>
      <c r="AB439" s="398"/>
      <c r="AC439" s="399"/>
      <c r="AD439" s="399"/>
      <c r="AE439" s="399"/>
      <c r="AF439" s="399"/>
      <c r="AG439" s="399"/>
      <c r="AH439" s="399"/>
      <c r="AI439" s="400"/>
      <c r="AJ439" s="398"/>
      <c r="AK439" s="399"/>
      <c r="AL439" s="399"/>
      <c r="AM439" s="399"/>
      <c r="AN439" s="399"/>
      <c r="AO439" s="399"/>
      <c r="AP439" s="399"/>
      <c r="AQ439" s="399"/>
      <c r="AR439" s="403"/>
    </row>
  </sheetData>
  <mergeCells count="2058">
    <mergeCell ref="C439:AA439"/>
    <mergeCell ref="AC432:AR432"/>
    <mergeCell ref="C433:H433"/>
    <mergeCell ref="I433:J433"/>
    <mergeCell ref="K433:Z433"/>
    <mergeCell ref="AA433:AB433"/>
    <mergeCell ref="AC433:AR433"/>
    <mergeCell ref="C434:H434"/>
    <mergeCell ref="I434:J434"/>
    <mergeCell ref="K434:Z434"/>
    <mergeCell ref="AA434:AB434"/>
    <mergeCell ref="AC434:AR434"/>
    <mergeCell ref="C436:F436"/>
    <mergeCell ref="G436:AA436"/>
    <mergeCell ref="AB436:AI439"/>
    <mergeCell ref="AJ436:AR439"/>
    <mergeCell ref="C437:F437"/>
    <mergeCell ref="AC430:AR430"/>
    <mergeCell ref="C431:H431"/>
    <mergeCell ref="I431:J431"/>
    <mergeCell ref="K431:Z431"/>
    <mergeCell ref="AA431:AB431"/>
    <mergeCell ref="AC431:AR431"/>
    <mergeCell ref="C432:H432"/>
    <mergeCell ref="I432:J432"/>
    <mergeCell ref="K432:Z432"/>
    <mergeCell ref="AA432:AB432"/>
    <mergeCell ref="C430:H430"/>
    <mergeCell ref="I430:J430"/>
    <mergeCell ref="K430:Z430"/>
    <mergeCell ref="AA430:AB430"/>
    <mergeCell ref="G437:AA437"/>
    <mergeCell ref="C438:F438"/>
    <mergeCell ref="G438:AA438"/>
    <mergeCell ref="C423:X423"/>
    <mergeCell ref="Y423:AN423"/>
    <mergeCell ref="AO423:AR423"/>
    <mergeCell ref="C425:X427"/>
    <mergeCell ref="Y425:AN425"/>
    <mergeCell ref="AO425:AR425"/>
    <mergeCell ref="Y426:AG426"/>
    <mergeCell ref="AH426:AN426"/>
    <mergeCell ref="AO426:AR426"/>
    <mergeCell ref="A427:B427"/>
    <mergeCell ref="Y427:AN427"/>
    <mergeCell ref="AO427:AR427"/>
    <mergeCell ref="C429:H429"/>
    <mergeCell ref="I429:J429"/>
    <mergeCell ref="K429:Z429"/>
    <mergeCell ref="AA429:AB429"/>
    <mergeCell ref="AC429:AR429"/>
    <mergeCell ref="C421:E421"/>
    <mergeCell ref="F421:R421"/>
    <mergeCell ref="S421:U421"/>
    <mergeCell ref="V421:X421"/>
    <mergeCell ref="Y421:AD421"/>
    <mergeCell ref="AE421:AG421"/>
    <mergeCell ref="AH421:AJ421"/>
    <mergeCell ref="AK421:AN421"/>
    <mergeCell ref="AO421:AR421"/>
    <mergeCell ref="C422:E422"/>
    <mergeCell ref="F422:R422"/>
    <mergeCell ref="S422:U422"/>
    <mergeCell ref="V422:X422"/>
    <mergeCell ref="Y422:AD422"/>
    <mergeCell ref="AE422:AG422"/>
    <mergeCell ref="AH422:AJ422"/>
    <mergeCell ref="AK422:AN422"/>
    <mergeCell ref="AO422:AR422"/>
    <mergeCell ref="C419:E419"/>
    <mergeCell ref="F419:R419"/>
    <mergeCell ref="S419:U419"/>
    <mergeCell ref="V419:X419"/>
    <mergeCell ref="Y419:AD419"/>
    <mergeCell ref="AE419:AG419"/>
    <mergeCell ref="AH419:AJ419"/>
    <mergeCell ref="AK419:AN419"/>
    <mergeCell ref="AO419:AR419"/>
    <mergeCell ref="C420:E420"/>
    <mergeCell ref="F420:R420"/>
    <mergeCell ref="S420:U420"/>
    <mergeCell ref="V420:X420"/>
    <mergeCell ref="Y420:AD420"/>
    <mergeCell ref="AE420:AG420"/>
    <mergeCell ref="AH420:AJ420"/>
    <mergeCell ref="AK420:AN420"/>
    <mergeCell ref="AO420:AR420"/>
    <mergeCell ref="C417:E417"/>
    <mergeCell ref="F417:R417"/>
    <mergeCell ref="S417:U417"/>
    <mergeCell ref="V417:X417"/>
    <mergeCell ref="Y417:AD417"/>
    <mergeCell ref="AE417:AG417"/>
    <mergeCell ref="AH417:AJ417"/>
    <mergeCell ref="AK417:AN417"/>
    <mergeCell ref="AO417:AR417"/>
    <mergeCell ref="C418:E418"/>
    <mergeCell ref="F418:R418"/>
    <mergeCell ref="S418:U418"/>
    <mergeCell ref="V418:X418"/>
    <mergeCell ref="Y418:AD418"/>
    <mergeCell ref="AE418:AG418"/>
    <mergeCell ref="AH418:AJ418"/>
    <mergeCell ref="AK418:AN418"/>
    <mergeCell ref="AO418:AR418"/>
    <mergeCell ref="C415:E415"/>
    <mergeCell ref="F415:R415"/>
    <mergeCell ref="S415:U415"/>
    <mergeCell ref="V415:X415"/>
    <mergeCell ref="Y415:AD415"/>
    <mergeCell ref="AE415:AG415"/>
    <mergeCell ref="AH415:AJ415"/>
    <mergeCell ref="AK415:AN415"/>
    <mergeCell ref="AO415:AR415"/>
    <mergeCell ref="C416:E416"/>
    <mergeCell ref="F416:R416"/>
    <mergeCell ref="S416:U416"/>
    <mergeCell ref="V416:X416"/>
    <mergeCell ref="Y416:AD416"/>
    <mergeCell ref="AE416:AG416"/>
    <mergeCell ref="AH416:AJ416"/>
    <mergeCell ref="AK416:AN416"/>
    <mergeCell ref="AO416:AR416"/>
    <mergeCell ref="C409:E409"/>
    <mergeCell ref="F409:AB409"/>
    <mergeCell ref="AC409:AF409"/>
    <mergeCell ref="AG409:AJ409"/>
    <mergeCell ref="AK409:AN409"/>
    <mergeCell ref="AO409:AR409"/>
    <mergeCell ref="C410:E410"/>
    <mergeCell ref="F410:AB410"/>
    <mergeCell ref="AC410:AF410"/>
    <mergeCell ref="AG410:AJ410"/>
    <mergeCell ref="AK410:AN410"/>
    <mergeCell ref="AO410:AR410"/>
    <mergeCell ref="C411:X411"/>
    <mergeCell ref="Y411:AN411"/>
    <mergeCell ref="AO411:AR411"/>
    <mergeCell ref="C413:E414"/>
    <mergeCell ref="F413:R414"/>
    <mergeCell ref="S413:U414"/>
    <mergeCell ref="V413:X414"/>
    <mergeCell ref="Y413:AD414"/>
    <mergeCell ref="AE413:AG414"/>
    <mergeCell ref="AH413:AJ414"/>
    <mergeCell ref="AK413:AN414"/>
    <mergeCell ref="AO413:AR414"/>
    <mergeCell ref="C406:E406"/>
    <mergeCell ref="F406:AB406"/>
    <mergeCell ref="AC406:AF406"/>
    <mergeCell ref="AG406:AJ406"/>
    <mergeCell ref="AK406:AN406"/>
    <mergeCell ref="AO406:AR406"/>
    <mergeCell ref="C407:E407"/>
    <mergeCell ref="F407:AB407"/>
    <mergeCell ref="AC407:AF407"/>
    <mergeCell ref="AG407:AJ407"/>
    <mergeCell ref="AK407:AN407"/>
    <mergeCell ref="AO407:AR407"/>
    <mergeCell ref="C408:E408"/>
    <mergeCell ref="F408:AB408"/>
    <mergeCell ref="AC408:AF408"/>
    <mergeCell ref="AG408:AJ408"/>
    <mergeCell ref="AK408:AN408"/>
    <mergeCell ref="AO408:AR408"/>
    <mergeCell ref="C403:E403"/>
    <mergeCell ref="F403:AB403"/>
    <mergeCell ref="AC403:AF403"/>
    <mergeCell ref="AG403:AJ403"/>
    <mergeCell ref="AK403:AN403"/>
    <mergeCell ref="AO403:AR403"/>
    <mergeCell ref="C404:E404"/>
    <mergeCell ref="F404:AB404"/>
    <mergeCell ref="AC404:AF404"/>
    <mergeCell ref="AG404:AJ404"/>
    <mergeCell ref="AK404:AN404"/>
    <mergeCell ref="AO404:AR404"/>
    <mergeCell ref="C405:E405"/>
    <mergeCell ref="F405:AB405"/>
    <mergeCell ref="AC405:AF405"/>
    <mergeCell ref="AG405:AJ405"/>
    <mergeCell ref="AK405:AN405"/>
    <mergeCell ref="AO405:AR405"/>
    <mergeCell ref="C396:X396"/>
    <mergeCell ref="Y396:AN396"/>
    <mergeCell ref="AO396:AR396"/>
    <mergeCell ref="C398:X398"/>
    <mergeCell ref="Y398:AN398"/>
    <mergeCell ref="AO398:AR398"/>
    <mergeCell ref="C399:P399"/>
    <mergeCell ref="Q399:U399"/>
    <mergeCell ref="V399:X399"/>
    <mergeCell ref="Y399:AN399"/>
    <mergeCell ref="AO399:AR399"/>
    <mergeCell ref="C401:E402"/>
    <mergeCell ref="F401:AB402"/>
    <mergeCell ref="AC401:AF402"/>
    <mergeCell ref="AG401:AJ402"/>
    <mergeCell ref="AK401:AN402"/>
    <mergeCell ref="AO401:AR402"/>
    <mergeCell ref="C393:E393"/>
    <mergeCell ref="F393:AB393"/>
    <mergeCell ref="AC393:AF393"/>
    <mergeCell ref="AG393:AJ393"/>
    <mergeCell ref="AK393:AN393"/>
    <mergeCell ref="AO393:AR393"/>
    <mergeCell ref="C394:E394"/>
    <mergeCell ref="F394:AB394"/>
    <mergeCell ref="AC394:AF394"/>
    <mergeCell ref="AG394:AJ394"/>
    <mergeCell ref="AK394:AN394"/>
    <mergeCell ref="AO394:AR394"/>
    <mergeCell ref="C395:X395"/>
    <mergeCell ref="Y395:AF395"/>
    <mergeCell ref="AG395:AJ395"/>
    <mergeCell ref="AK395:AN395"/>
    <mergeCell ref="AO395:AR395"/>
    <mergeCell ref="C390:E390"/>
    <mergeCell ref="F390:AB390"/>
    <mergeCell ref="AC390:AF390"/>
    <mergeCell ref="AG390:AJ390"/>
    <mergeCell ref="AK390:AN390"/>
    <mergeCell ref="AO390:AR390"/>
    <mergeCell ref="C391:E391"/>
    <mergeCell ref="F391:AB391"/>
    <mergeCell ref="AC391:AF391"/>
    <mergeCell ref="AG391:AJ391"/>
    <mergeCell ref="AK391:AN391"/>
    <mergeCell ref="AO391:AR391"/>
    <mergeCell ref="C392:E392"/>
    <mergeCell ref="F392:AB392"/>
    <mergeCell ref="AC392:AF392"/>
    <mergeCell ref="AG392:AJ392"/>
    <mergeCell ref="AK392:AN392"/>
    <mergeCell ref="AO392:AR392"/>
    <mergeCell ref="C387:E387"/>
    <mergeCell ref="F387:AB387"/>
    <mergeCell ref="AC387:AF387"/>
    <mergeCell ref="AG387:AJ387"/>
    <mergeCell ref="AK387:AN387"/>
    <mergeCell ref="AO387:AR387"/>
    <mergeCell ref="C388:E388"/>
    <mergeCell ref="F388:AB388"/>
    <mergeCell ref="AC388:AF388"/>
    <mergeCell ref="AG388:AJ388"/>
    <mergeCell ref="AK388:AN388"/>
    <mergeCell ref="AO388:AR388"/>
    <mergeCell ref="C389:E389"/>
    <mergeCell ref="F389:AB389"/>
    <mergeCell ref="AC389:AF389"/>
    <mergeCell ref="AG389:AJ389"/>
    <mergeCell ref="AK389:AN389"/>
    <mergeCell ref="AO389:AR389"/>
    <mergeCell ref="C382:E382"/>
    <mergeCell ref="F382:U382"/>
    <mergeCell ref="V382:X382"/>
    <mergeCell ref="Y382:AB382"/>
    <mergeCell ref="AC382:AF382"/>
    <mergeCell ref="AG382:AJ382"/>
    <mergeCell ref="AK382:AN382"/>
    <mergeCell ref="AO382:AR382"/>
    <mergeCell ref="C383:X383"/>
    <mergeCell ref="Y383:AN383"/>
    <mergeCell ref="AO383:AR383"/>
    <mergeCell ref="C385:E386"/>
    <mergeCell ref="F385:AB386"/>
    <mergeCell ref="AC385:AF386"/>
    <mergeCell ref="AG385:AJ386"/>
    <mergeCell ref="AK385:AN386"/>
    <mergeCell ref="AO385:AR386"/>
    <mergeCell ref="C379:E379"/>
    <mergeCell ref="F379:U379"/>
    <mergeCell ref="V379:X379"/>
    <mergeCell ref="Y379:AB379"/>
    <mergeCell ref="AC379:AF379"/>
    <mergeCell ref="AG379:AJ379"/>
    <mergeCell ref="AK379:AN379"/>
    <mergeCell ref="AO379:AR379"/>
    <mergeCell ref="C380:E380"/>
    <mergeCell ref="F380:U380"/>
    <mergeCell ref="V380:X380"/>
    <mergeCell ref="Y380:AB380"/>
    <mergeCell ref="AC380:AF380"/>
    <mergeCell ref="AG380:AJ380"/>
    <mergeCell ref="AK380:AN380"/>
    <mergeCell ref="AO380:AR380"/>
    <mergeCell ref="C381:E381"/>
    <mergeCell ref="F381:U381"/>
    <mergeCell ref="V381:X381"/>
    <mergeCell ref="Y381:AB381"/>
    <mergeCell ref="AC381:AF381"/>
    <mergeCell ref="AG381:AJ381"/>
    <mergeCell ref="AK381:AN381"/>
    <mergeCell ref="AO381:AR381"/>
    <mergeCell ref="C376:E376"/>
    <mergeCell ref="F376:U376"/>
    <mergeCell ref="V376:X376"/>
    <mergeCell ref="Y376:AB376"/>
    <mergeCell ref="AC376:AF376"/>
    <mergeCell ref="AG376:AJ376"/>
    <mergeCell ref="AK376:AN376"/>
    <mergeCell ref="AO376:AR376"/>
    <mergeCell ref="C377:E377"/>
    <mergeCell ref="F377:U377"/>
    <mergeCell ref="V377:X377"/>
    <mergeCell ref="Y377:AB377"/>
    <mergeCell ref="AC377:AF377"/>
    <mergeCell ref="AG377:AJ377"/>
    <mergeCell ref="AK377:AN377"/>
    <mergeCell ref="AO377:AR377"/>
    <mergeCell ref="C378:E378"/>
    <mergeCell ref="F378:U378"/>
    <mergeCell ref="V378:X378"/>
    <mergeCell ref="Y378:AB378"/>
    <mergeCell ref="AC378:AF378"/>
    <mergeCell ref="AG378:AJ378"/>
    <mergeCell ref="AK378:AN378"/>
    <mergeCell ref="AO378:AR378"/>
    <mergeCell ref="C373:E374"/>
    <mergeCell ref="F373:U374"/>
    <mergeCell ref="V373:X374"/>
    <mergeCell ref="Y373:AF373"/>
    <mergeCell ref="AG373:AN373"/>
    <mergeCell ref="AO373:AR374"/>
    <mergeCell ref="Y374:AB374"/>
    <mergeCell ref="AC374:AF374"/>
    <mergeCell ref="AG374:AJ374"/>
    <mergeCell ref="AK374:AN374"/>
    <mergeCell ref="C375:E375"/>
    <mergeCell ref="F375:U375"/>
    <mergeCell ref="V375:X375"/>
    <mergeCell ref="Y375:AB375"/>
    <mergeCell ref="AC375:AF375"/>
    <mergeCell ref="AG375:AJ375"/>
    <mergeCell ref="AK375:AN375"/>
    <mergeCell ref="AO375:AR375"/>
    <mergeCell ref="C361:H361"/>
    <mergeCell ref="I361:J361"/>
    <mergeCell ref="K361:Z361"/>
    <mergeCell ref="AA361:AB361"/>
    <mergeCell ref="AC361:AR361"/>
    <mergeCell ref="C363:F363"/>
    <mergeCell ref="G363:AA363"/>
    <mergeCell ref="AB363:AI366"/>
    <mergeCell ref="AJ363:AR366"/>
    <mergeCell ref="C364:F364"/>
    <mergeCell ref="G364:AA364"/>
    <mergeCell ref="C365:F365"/>
    <mergeCell ref="G365:AA365"/>
    <mergeCell ref="C366:AA366"/>
    <mergeCell ref="C368:AR369"/>
    <mergeCell ref="C370:F371"/>
    <mergeCell ref="G370:J371"/>
    <mergeCell ref="K370:N371"/>
    <mergeCell ref="O370:AK371"/>
    <mergeCell ref="AL370:AO371"/>
    <mergeCell ref="AP370:AR371"/>
    <mergeCell ref="C357:H357"/>
    <mergeCell ref="I357:J357"/>
    <mergeCell ref="K357:Z357"/>
    <mergeCell ref="AA357:AB357"/>
    <mergeCell ref="AC357:AR357"/>
    <mergeCell ref="C358:H358"/>
    <mergeCell ref="I358:J358"/>
    <mergeCell ref="K358:Z358"/>
    <mergeCell ref="AA358:AB358"/>
    <mergeCell ref="AC358:AR358"/>
    <mergeCell ref="C359:H359"/>
    <mergeCell ref="I359:J359"/>
    <mergeCell ref="K359:Z359"/>
    <mergeCell ref="AA359:AB359"/>
    <mergeCell ref="AC359:AR359"/>
    <mergeCell ref="C360:H360"/>
    <mergeCell ref="I360:J360"/>
    <mergeCell ref="K360:Z360"/>
    <mergeCell ref="AA360:AB360"/>
    <mergeCell ref="AC360:AR360"/>
    <mergeCell ref="C350:X350"/>
    <mergeCell ref="Y350:AN350"/>
    <mergeCell ref="AO350:AR350"/>
    <mergeCell ref="C352:X354"/>
    <mergeCell ref="Y352:AN352"/>
    <mergeCell ref="AO352:AR352"/>
    <mergeCell ref="Y353:AG353"/>
    <mergeCell ref="AH353:AN353"/>
    <mergeCell ref="AO353:AR353"/>
    <mergeCell ref="A354:B354"/>
    <mergeCell ref="Y354:AN354"/>
    <mergeCell ref="AO354:AR354"/>
    <mergeCell ref="C356:H356"/>
    <mergeCell ref="I356:J356"/>
    <mergeCell ref="K356:Z356"/>
    <mergeCell ref="AA356:AB356"/>
    <mergeCell ref="AC356:AR356"/>
    <mergeCell ref="C348:E348"/>
    <mergeCell ref="F348:R348"/>
    <mergeCell ref="S348:U348"/>
    <mergeCell ref="V348:X348"/>
    <mergeCell ref="Y348:AD348"/>
    <mergeCell ref="AE348:AG348"/>
    <mergeCell ref="AH348:AJ348"/>
    <mergeCell ref="AK348:AN348"/>
    <mergeCell ref="AO348:AR348"/>
    <mergeCell ref="C349:E349"/>
    <mergeCell ref="F349:R349"/>
    <mergeCell ref="S349:U349"/>
    <mergeCell ref="V349:X349"/>
    <mergeCell ref="Y349:AD349"/>
    <mergeCell ref="AE349:AG349"/>
    <mergeCell ref="AH349:AJ349"/>
    <mergeCell ref="AK349:AN349"/>
    <mergeCell ref="AO349:AR349"/>
    <mergeCell ref="C346:E346"/>
    <mergeCell ref="F346:R346"/>
    <mergeCell ref="S346:U346"/>
    <mergeCell ref="V346:X346"/>
    <mergeCell ref="Y346:AD346"/>
    <mergeCell ref="AE346:AG346"/>
    <mergeCell ref="AH346:AJ346"/>
    <mergeCell ref="AK346:AN346"/>
    <mergeCell ref="AO346:AR346"/>
    <mergeCell ref="C347:E347"/>
    <mergeCell ref="F347:R347"/>
    <mergeCell ref="S347:U347"/>
    <mergeCell ref="V347:X347"/>
    <mergeCell ref="Y347:AD347"/>
    <mergeCell ref="AE347:AG347"/>
    <mergeCell ref="AH347:AJ347"/>
    <mergeCell ref="AK347:AN347"/>
    <mergeCell ref="AO347:AR347"/>
    <mergeCell ref="C344:E344"/>
    <mergeCell ref="F344:R344"/>
    <mergeCell ref="S344:U344"/>
    <mergeCell ref="V344:X344"/>
    <mergeCell ref="Y344:AD344"/>
    <mergeCell ref="AE344:AG344"/>
    <mergeCell ref="AH344:AJ344"/>
    <mergeCell ref="AK344:AN344"/>
    <mergeCell ref="AO344:AR344"/>
    <mergeCell ref="C345:E345"/>
    <mergeCell ref="F345:R345"/>
    <mergeCell ref="S345:U345"/>
    <mergeCell ref="V345:X345"/>
    <mergeCell ref="Y345:AD345"/>
    <mergeCell ref="AE345:AG345"/>
    <mergeCell ref="AH345:AJ345"/>
    <mergeCell ref="AK345:AN345"/>
    <mergeCell ref="AO345:AR345"/>
    <mergeCell ref="C342:E342"/>
    <mergeCell ref="F342:R342"/>
    <mergeCell ref="S342:U342"/>
    <mergeCell ref="V342:X342"/>
    <mergeCell ref="Y342:AD342"/>
    <mergeCell ref="AE342:AG342"/>
    <mergeCell ref="AH342:AJ342"/>
    <mergeCell ref="AK342:AN342"/>
    <mergeCell ref="AO342:AR342"/>
    <mergeCell ref="C343:E343"/>
    <mergeCell ref="F343:R343"/>
    <mergeCell ref="S343:U343"/>
    <mergeCell ref="V343:X343"/>
    <mergeCell ref="Y343:AD343"/>
    <mergeCell ref="AE343:AG343"/>
    <mergeCell ref="AH343:AJ343"/>
    <mergeCell ref="AK343:AN343"/>
    <mergeCell ref="AO343:AR343"/>
    <mergeCell ref="C337:E337"/>
    <mergeCell ref="F337:AB337"/>
    <mergeCell ref="AC337:AF337"/>
    <mergeCell ref="AG337:AJ337"/>
    <mergeCell ref="AK337:AN337"/>
    <mergeCell ref="AO337:AR337"/>
    <mergeCell ref="C338:X338"/>
    <mergeCell ref="Y338:AN338"/>
    <mergeCell ref="AO338:AR338"/>
    <mergeCell ref="C340:E341"/>
    <mergeCell ref="F340:R341"/>
    <mergeCell ref="S340:U341"/>
    <mergeCell ref="V340:X341"/>
    <mergeCell ref="Y340:AD341"/>
    <mergeCell ref="AE340:AG341"/>
    <mergeCell ref="AH340:AJ341"/>
    <mergeCell ref="AK340:AN341"/>
    <mergeCell ref="AO340:AR341"/>
    <mergeCell ref="C334:E334"/>
    <mergeCell ref="F334:AB334"/>
    <mergeCell ref="AC334:AF334"/>
    <mergeCell ref="AG334:AJ334"/>
    <mergeCell ref="AK334:AN334"/>
    <mergeCell ref="AO334:AR334"/>
    <mergeCell ref="C335:E335"/>
    <mergeCell ref="F335:AB335"/>
    <mergeCell ref="AC335:AF335"/>
    <mergeCell ref="AG335:AJ335"/>
    <mergeCell ref="AK335:AN335"/>
    <mergeCell ref="AO335:AR335"/>
    <mergeCell ref="C336:E336"/>
    <mergeCell ref="F336:AB336"/>
    <mergeCell ref="AC336:AF336"/>
    <mergeCell ref="AG336:AJ336"/>
    <mergeCell ref="AK336:AN336"/>
    <mergeCell ref="AO336:AR336"/>
    <mergeCell ref="C331:E331"/>
    <mergeCell ref="F331:AB331"/>
    <mergeCell ref="AC331:AF331"/>
    <mergeCell ref="AG331:AJ331"/>
    <mergeCell ref="AK331:AN331"/>
    <mergeCell ref="AO331:AR331"/>
    <mergeCell ref="C332:E332"/>
    <mergeCell ref="F332:AB332"/>
    <mergeCell ref="AC332:AF332"/>
    <mergeCell ref="AG332:AJ332"/>
    <mergeCell ref="AK332:AN332"/>
    <mergeCell ref="AO332:AR332"/>
    <mergeCell ref="C333:E333"/>
    <mergeCell ref="F333:AB333"/>
    <mergeCell ref="AC333:AF333"/>
    <mergeCell ref="AG333:AJ333"/>
    <mergeCell ref="AK333:AN333"/>
    <mergeCell ref="AO333:AR333"/>
    <mergeCell ref="C326:P326"/>
    <mergeCell ref="Q326:U326"/>
    <mergeCell ref="V326:X326"/>
    <mergeCell ref="Y326:AN326"/>
    <mergeCell ref="AO326:AR326"/>
    <mergeCell ref="C328:E329"/>
    <mergeCell ref="F328:AB329"/>
    <mergeCell ref="AC328:AF329"/>
    <mergeCell ref="AG328:AJ329"/>
    <mergeCell ref="AK328:AN329"/>
    <mergeCell ref="AO328:AR329"/>
    <mergeCell ref="C330:E330"/>
    <mergeCell ref="F330:AB330"/>
    <mergeCell ref="AC330:AF330"/>
    <mergeCell ref="AG330:AJ330"/>
    <mergeCell ref="AK330:AN330"/>
    <mergeCell ref="AO330:AR330"/>
    <mergeCell ref="C321:E321"/>
    <mergeCell ref="F321:AB321"/>
    <mergeCell ref="AC321:AF321"/>
    <mergeCell ref="AG321:AJ321"/>
    <mergeCell ref="AK321:AN321"/>
    <mergeCell ref="AO321:AR321"/>
    <mergeCell ref="C322:X322"/>
    <mergeCell ref="Y322:AF322"/>
    <mergeCell ref="AG322:AJ322"/>
    <mergeCell ref="AK322:AN322"/>
    <mergeCell ref="AO322:AR322"/>
    <mergeCell ref="C323:X323"/>
    <mergeCell ref="Y323:AN323"/>
    <mergeCell ref="AO323:AR323"/>
    <mergeCell ref="C325:X325"/>
    <mergeCell ref="Y325:AN325"/>
    <mergeCell ref="AO325:AR325"/>
    <mergeCell ref="C318:E318"/>
    <mergeCell ref="F318:AB318"/>
    <mergeCell ref="AC318:AF318"/>
    <mergeCell ref="AG318:AJ318"/>
    <mergeCell ref="AK318:AN318"/>
    <mergeCell ref="AO318:AR318"/>
    <mergeCell ref="C319:E319"/>
    <mergeCell ref="F319:AB319"/>
    <mergeCell ref="AC319:AF319"/>
    <mergeCell ref="AG319:AJ319"/>
    <mergeCell ref="AK319:AN319"/>
    <mergeCell ref="AO319:AR319"/>
    <mergeCell ref="C320:E320"/>
    <mergeCell ref="F320:AB320"/>
    <mergeCell ref="AC320:AF320"/>
    <mergeCell ref="AG320:AJ320"/>
    <mergeCell ref="AK320:AN320"/>
    <mergeCell ref="AO320:AR320"/>
    <mergeCell ref="C315:E315"/>
    <mergeCell ref="F315:AB315"/>
    <mergeCell ref="AC315:AF315"/>
    <mergeCell ref="AG315:AJ315"/>
    <mergeCell ref="AK315:AN315"/>
    <mergeCell ref="AO315:AR315"/>
    <mergeCell ref="C316:E316"/>
    <mergeCell ref="F316:AB316"/>
    <mergeCell ref="AC316:AF316"/>
    <mergeCell ref="AG316:AJ316"/>
    <mergeCell ref="AK316:AN316"/>
    <mergeCell ref="AO316:AR316"/>
    <mergeCell ref="C317:E317"/>
    <mergeCell ref="F317:AB317"/>
    <mergeCell ref="AC317:AF317"/>
    <mergeCell ref="AG317:AJ317"/>
    <mergeCell ref="AK317:AN317"/>
    <mergeCell ref="AO317:AR317"/>
    <mergeCell ref="C311:E312"/>
    <mergeCell ref="F311:AB312"/>
    <mergeCell ref="AC311:AF312"/>
    <mergeCell ref="AG311:AJ312"/>
    <mergeCell ref="AK311:AN312"/>
    <mergeCell ref="AO311:AR312"/>
    <mergeCell ref="C313:E313"/>
    <mergeCell ref="F313:AB313"/>
    <mergeCell ref="AC313:AF313"/>
    <mergeCell ref="AG313:AJ313"/>
    <mergeCell ref="AK313:AN313"/>
    <mergeCell ref="AO313:AR313"/>
    <mergeCell ref="C314:E314"/>
    <mergeCell ref="F314:AB314"/>
    <mergeCell ref="AC314:AF314"/>
    <mergeCell ref="AG314:AJ314"/>
    <mergeCell ref="AK314:AN314"/>
    <mergeCell ref="AO314:AR314"/>
    <mergeCell ref="C307:E307"/>
    <mergeCell ref="F307:U307"/>
    <mergeCell ref="V307:X307"/>
    <mergeCell ref="Y307:AB307"/>
    <mergeCell ref="AC307:AF307"/>
    <mergeCell ref="AG307:AJ307"/>
    <mergeCell ref="AK307:AN307"/>
    <mergeCell ref="AO307:AR307"/>
    <mergeCell ref="C308:E308"/>
    <mergeCell ref="F308:U308"/>
    <mergeCell ref="V308:X308"/>
    <mergeCell ref="Y308:AB308"/>
    <mergeCell ref="AC308:AF308"/>
    <mergeCell ref="AG308:AJ308"/>
    <mergeCell ref="AK308:AN308"/>
    <mergeCell ref="AO308:AR308"/>
    <mergeCell ref="C309:X309"/>
    <mergeCell ref="Y309:AN309"/>
    <mergeCell ref="AO309:AR309"/>
    <mergeCell ref="C304:E304"/>
    <mergeCell ref="F304:U304"/>
    <mergeCell ref="V304:X304"/>
    <mergeCell ref="Y304:AB304"/>
    <mergeCell ref="AC304:AF304"/>
    <mergeCell ref="AG304:AJ304"/>
    <mergeCell ref="AK304:AN304"/>
    <mergeCell ref="AO304:AR304"/>
    <mergeCell ref="C305:E305"/>
    <mergeCell ref="F305:U305"/>
    <mergeCell ref="V305:X305"/>
    <mergeCell ref="Y305:AB305"/>
    <mergeCell ref="AC305:AF305"/>
    <mergeCell ref="AG305:AJ305"/>
    <mergeCell ref="AK305:AN305"/>
    <mergeCell ref="AO305:AR305"/>
    <mergeCell ref="C306:E306"/>
    <mergeCell ref="F306:U306"/>
    <mergeCell ref="V306:X306"/>
    <mergeCell ref="Y306:AB306"/>
    <mergeCell ref="AC306:AF306"/>
    <mergeCell ref="AG306:AJ306"/>
    <mergeCell ref="AK306:AN306"/>
    <mergeCell ref="AO306:AR306"/>
    <mergeCell ref="C301:E301"/>
    <mergeCell ref="F301:U301"/>
    <mergeCell ref="V301:X301"/>
    <mergeCell ref="Y301:AB301"/>
    <mergeCell ref="AC301:AF301"/>
    <mergeCell ref="AG301:AJ301"/>
    <mergeCell ref="AK301:AN301"/>
    <mergeCell ref="AO301:AR301"/>
    <mergeCell ref="C302:E302"/>
    <mergeCell ref="F302:U302"/>
    <mergeCell ref="V302:X302"/>
    <mergeCell ref="Y302:AB302"/>
    <mergeCell ref="AC302:AF302"/>
    <mergeCell ref="AG302:AJ302"/>
    <mergeCell ref="AK302:AN302"/>
    <mergeCell ref="AO302:AR302"/>
    <mergeCell ref="C303:E303"/>
    <mergeCell ref="F303:U303"/>
    <mergeCell ref="V303:X303"/>
    <mergeCell ref="Y303:AB303"/>
    <mergeCell ref="AC303:AF303"/>
    <mergeCell ref="AG303:AJ303"/>
    <mergeCell ref="AK303:AN303"/>
    <mergeCell ref="AO303:AR303"/>
    <mergeCell ref="C294:AR295"/>
    <mergeCell ref="C296:F297"/>
    <mergeCell ref="G296:J297"/>
    <mergeCell ref="K296:N297"/>
    <mergeCell ref="O296:AK297"/>
    <mergeCell ref="AL296:AO297"/>
    <mergeCell ref="AP296:AR297"/>
    <mergeCell ref="C299:E300"/>
    <mergeCell ref="F299:U300"/>
    <mergeCell ref="V299:X300"/>
    <mergeCell ref="Y299:AF299"/>
    <mergeCell ref="AG299:AN299"/>
    <mergeCell ref="AO299:AR300"/>
    <mergeCell ref="Y300:AB300"/>
    <mergeCell ref="AC300:AF300"/>
    <mergeCell ref="AG300:AJ300"/>
    <mergeCell ref="AK300:AN300"/>
    <mergeCell ref="C292:AA292"/>
    <mergeCell ref="AC285:AR285"/>
    <mergeCell ref="C286:H286"/>
    <mergeCell ref="I286:J286"/>
    <mergeCell ref="K286:Z286"/>
    <mergeCell ref="AA286:AB286"/>
    <mergeCell ref="AC286:AR286"/>
    <mergeCell ref="C287:H287"/>
    <mergeCell ref="I287:J287"/>
    <mergeCell ref="K287:Z287"/>
    <mergeCell ref="AA287:AB287"/>
    <mergeCell ref="AC287:AR287"/>
    <mergeCell ref="C289:F289"/>
    <mergeCell ref="G289:AA289"/>
    <mergeCell ref="AB289:AI292"/>
    <mergeCell ref="AJ289:AR292"/>
    <mergeCell ref="C290:F290"/>
    <mergeCell ref="AC283:AR283"/>
    <mergeCell ref="C284:H284"/>
    <mergeCell ref="I284:J284"/>
    <mergeCell ref="K284:Z284"/>
    <mergeCell ref="AA284:AB284"/>
    <mergeCell ref="AC284:AR284"/>
    <mergeCell ref="C285:H285"/>
    <mergeCell ref="I285:J285"/>
    <mergeCell ref="K285:Z285"/>
    <mergeCell ref="AA285:AB285"/>
    <mergeCell ref="C283:H283"/>
    <mergeCell ref="I283:J283"/>
    <mergeCell ref="K283:Z283"/>
    <mergeCell ref="AA283:AB283"/>
    <mergeCell ref="G290:AA290"/>
    <mergeCell ref="C291:F291"/>
    <mergeCell ref="G291:AA291"/>
    <mergeCell ref="C276:X276"/>
    <mergeCell ref="Y276:AN276"/>
    <mergeCell ref="AO276:AR276"/>
    <mergeCell ref="C278:X280"/>
    <mergeCell ref="Y278:AN278"/>
    <mergeCell ref="AO278:AR278"/>
    <mergeCell ref="Y279:AG279"/>
    <mergeCell ref="AH279:AN279"/>
    <mergeCell ref="AO279:AR279"/>
    <mergeCell ref="A280:B280"/>
    <mergeCell ref="Y280:AN280"/>
    <mergeCell ref="AO280:AR280"/>
    <mergeCell ref="C282:H282"/>
    <mergeCell ref="I282:J282"/>
    <mergeCell ref="K282:Z282"/>
    <mergeCell ref="AA282:AB282"/>
    <mergeCell ref="AC282:AR282"/>
    <mergeCell ref="C274:E274"/>
    <mergeCell ref="F274:R274"/>
    <mergeCell ref="S274:U274"/>
    <mergeCell ref="V274:X274"/>
    <mergeCell ref="Y274:AD274"/>
    <mergeCell ref="AE274:AG274"/>
    <mergeCell ref="AH274:AJ274"/>
    <mergeCell ref="AK274:AN274"/>
    <mergeCell ref="AO274:AR274"/>
    <mergeCell ref="C275:E275"/>
    <mergeCell ref="F275:R275"/>
    <mergeCell ref="S275:U275"/>
    <mergeCell ref="V275:X275"/>
    <mergeCell ref="Y275:AD275"/>
    <mergeCell ref="AE275:AG275"/>
    <mergeCell ref="AH275:AJ275"/>
    <mergeCell ref="AK275:AN275"/>
    <mergeCell ref="AO275:AR275"/>
    <mergeCell ref="C272:E272"/>
    <mergeCell ref="F272:R272"/>
    <mergeCell ref="S272:U272"/>
    <mergeCell ref="V272:X272"/>
    <mergeCell ref="Y272:AD272"/>
    <mergeCell ref="AE272:AG272"/>
    <mergeCell ref="AH272:AJ272"/>
    <mergeCell ref="AK272:AN272"/>
    <mergeCell ref="AO272:AR272"/>
    <mergeCell ref="C273:E273"/>
    <mergeCell ref="F273:R273"/>
    <mergeCell ref="S273:U273"/>
    <mergeCell ref="V273:X273"/>
    <mergeCell ref="Y273:AD273"/>
    <mergeCell ref="AE273:AG273"/>
    <mergeCell ref="AH273:AJ273"/>
    <mergeCell ref="AK273:AN273"/>
    <mergeCell ref="AO273:AR273"/>
    <mergeCell ref="C270:E270"/>
    <mergeCell ref="F270:R270"/>
    <mergeCell ref="S270:U270"/>
    <mergeCell ref="V270:X270"/>
    <mergeCell ref="Y270:AD270"/>
    <mergeCell ref="AE270:AG270"/>
    <mergeCell ref="AH270:AJ270"/>
    <mergeCell ref="AK270:AN270"/>
    <mergeCell ref="AO270:AR270"/>
    <mergeCell ref="C271:E271"/>
    <mergeCell ref="F271:R271"/>
    <mergeCell ref="S271:U271"/>
    <mergeCell ref="V271:X271"/>
    <mergeCell ref="Y271:AD271"/>
    <mergeCell ref="AE271:AG271"/>
    <mergeCell ref="AH271:AJ271"/>
    <mergeCell ref="AK271:AN271"/>
    <mergeCell ref="AO271:AR271"/>
    <mergeCell ref="C268:E268"/>
    <mergeCell ref="F268:R268"/>
    <mergeCell ref="S268:U268"/>
    <mergeCell ref="V268:X268"/>
    <mergeCell ref="Y268:AD268"/>
    <mergeCell ref="AE268:AG268"/>
    <mergeCell ref="AH268:AJ268"/>
    <mergeCell ref="AK268:AN268"/>
    <mergeCell ref="AO268:AR268"/>
    <mergeCell ref="C269:E269"/>
    <mergeCell ref="F269:R269"/>
    <mergeCell ref="S269:U269"/>
    <mergeCell ref="V269:X269"/>
    <mergeCell ref="Y269:AD269"/>
    <mergeCell ref="AE269:AG269"/>
    <mergeCell ref="AH269:AJ269"/>
    <mergeCell ref="AK269:AN269"/>
    <mergeCell ref="AO269:AR269"/>
    <mergeCell ref="C262:E262"/>
    <mergeCell ref="F262:AB262"/>
    <mergeCell ref="AC262:AF262"/>
    <mergeCell ref="AG262:AJ262"/>
    <mergeCell ref="AK262:AN262"/>
    <mergeCell ref="AO262:AR262"/>
    <mergeCell ref="C263:E263"/>
    <mergeCell ref="F263:AB263"/>
    <mergeCell ref="AC263:AF263"/>
    <mergeCell ref="AG263:AJ263"/>
    <mergeCell ref="AK263:AN263"/>
    <mergeCell ref="AO263:AR263"/>
    <mergeCell ref="C264:X264"/>
    <mergeCell ref="Y264:AN264"/>
    <mergeCell ref="AO264:AR264"/>
    <mergeCell ref="C266:E267"/>
    <mergeCell ref="F266:R267"/>
    <mergeCell ref="S266:U267"/>
    <mergeCell ref="V266:X267"/>
    <mergeCell ref="Y266:AD267"/>
    <mergeCell ref="AE266:AG267"/>
    <mergeCell ref="AH266:AJ267"/>
    <mergeCell ref="AK266:AN267"/>
    <mergeCell ref="AO266:AR267"/>
    <mergeCell ref="C259:E259"/>
    <mergeCell ref="F259:AB259"/>
    <mergeCell ref="AC259:AF259"/>
    <mergeCell ref="AG259:AJ259"/>
    <mergeCell ref="AK259:AN259"/>
    <mergeCell ref="AO259:AR259"/>
    <mergeCell ref="C260:E260"/>
    <mergeCell ref="F260:AB260"/>
    <mergeCell ref="AC260:AF260"/>
    <mergeCell ref="AG260:AJ260"/>
    <mergeCell ref="AK260:AN260"/>
    <mergeCell ref="AO260:AR260"/>
    <mergeCell ref="C261:E261"/>
    <mergeCell ref="F261:AB261"/>
    <mergeCell ref="AC261:AF261"/>
    <mergeCell ref="AG261:AJ261"/>
    <mergeCell ref="AK261:AN261"/>
    <mergeCell ref="AO261:AR261"/>
    <mergeCell ref="C256:E256"/>
    <mergeCell ref="F256:AB256"/>
    <mergeCell ref="AC256:AF256"/>
    <mergeCell ref="AG256:AJ256"/>
    <mergeCell ref="AK256:AN256"/>
    <mergeCell ref="AO256:AR256"/>
    <mergeCell ref="C257:E257"/>
    <mergeCell ref="F257:AB257"/>
    <mergeCell ref="AC257:AF257"/>
    <mergeCell ref="AG257:AJ257"/>
    <mergeCell ref="AK257:AN257"/>
    <mergeCell ref="AO257:AR257"/>
    <mergeCell ref="C258:E258"/>
    <mergeCell ref="F258:AB258"/>
    <mergeCell ref="AC258:AF258"/>
    <mergeCell ref="AG258:AJ258"/>
    <mergeCell ref="AK258:AN258"/>
    <mergeCell ref="AO258:AR258"/>
    <mergeCell ref="C248:X248"/>
    <mergeCell ref="Y248:AF248"/>
    <mergeCell ref="AG248:AJ248"/>
    <mergeCell ref="AK248:AN248"/>
    <mergeCell ref="AO248:AR248"/>
    <mergeCell ref="C249:X249"/>
    <mergeCell ref="Y249:AN249"/>
    <mergeCell ref="AO249:AR249"/>
    <mergeCell ref="C251:X251"/>
    <mergeCell ref="Y251:AN251"/>
    <mergeCell ref="AO251:AR251"/>
    <mergeCell ref="C252:P252"/>
    <mergeCell ref="Q252:U252"/>
    <mergeCell ref="V252:X252"/>
    <mergeCell ref="Y252:AN252"/>
    <mergeCell ref="AO252:AR252"/>
    <mergeCell ref="C254:E255"/>
    <mergeCell ref="F254:AB255"/>
    <mergeCell ref="AC254:AF255"/>
    <mergeCell ref="AG254:AJ255"/>
    <mergeCell ref="AK254:AN255"/>
    <mergeCell ref="AO254:AR255"/>
    <mergeCell ref="C245:E245"/>
    <mergeCell ref="F245:AB245"/>
    <mergeCell ref="AC245:AF245"/>
    <mergeCell ref="AG245:AJ245"/>
    <mergeCell ref="AK245:AN245"/>
    <mergeCell ref="AO245:AR245"/>
    <mergeCell ref="C246:E246"/>
    <mergeCell ref="F246:AB246"/>
    <mergeCell ref="AC246:AF246"/>
    <mergeCell ref="AG246:AJ246"/>
    <mergeCell ref="AK246:AN246"/>
    <mergeCell ref="AO246:AR246"/>
    <mergeCell ref="C247:E247"/>
    <mergeCell ref="F247:AB247"/>
    <mergeCell ref="AC247:AF247"/>
    <mergeCell ref="AG247:AJ247"/>
    <mergeCell ref="AK247:AN247"/>
    <mergeCell ref="AO247:AR247"/>
    <mergeCell ref="C242:E242"/>
    <mergeCell ref="F242:AB242"/>
    <mergeCell ref="AC242:AF242"/>
    <mergeCell ref="AG242:AJ242"/>
    <mergeCell ref="AK242:AN242"/>
    <mergeCell ref="AO242:AR242"/>
    <mergeCell ref="C243:E243"/>
    <mergeCell ref="F243:AB243"/>
    <mergeCell ref="AC243:AF243"/>
    <mergeCell ref="AG243:AJ243"/>
    <mergeCell ref="AK243:AN243"/>
    <mergeCell ref="AO243:AR243"/>
    <mergeCell ref="C244:E244"/>
    <mergeCell ref="F244:AB244"/>
    <mergeCell ref="AC244:AF244"/>
    <mergeCell ref="AG244:AJ244"/>
    <mergeCell ref="AK244:AN244"/>
    <mergeCell ref="AO244:AR244"/>
    <mergeCell ref="C238:E239"/>
    <mergeCell ref="F238:AB239"/>
    <mergeCell ref="AC238:AF239"/>
    <mergeCell ref="AG238:AJ239"/>
    <mergeCell ref="AK238:AN239"/>
    <mergeCell ref="AO238:AR239"/>
    <mergeCell ref="C240:E240"/>
    <mergeCell ref="F240:AB240"/>
    <mergeCell ref="AC240:AF240"/>
    <mergeCell ref="AG240:AJ240"/>
    <mergeCell ref="AK240:AN240"/>
    <mergeCell ref="AO240:AR240"/>
    <mergeCell ref="C241:E241"/>
    <mergeCell ref="F241:AB241"/>
    <mergeCell ref="AC241:AF241"/>
    <mergeCell ref="AG241:AJ241"/>
    <mergeCell ref="AK241:AN241"/>
    <mergeCell ref="AO241:AR241"/>
    <mergeCell ref="C234:E234"/>
    <mergeCell ref="F234:U234"/>
    <mergeCell ref="V234:X234"/>
    <mergeCell ref="Y234:AB234"/>
    <mergeCell ref="AC234:AF234"/>
    <mergeCell ref="AG234:AJ234"/>
    <mergeCell ref="AK234:AN234"/>
    <mergeCell ref="AO234:AR234"/>
    <mergeCell ref="C235:E235"/>
    <mergeCell ref="F235:U235"/>
    <mergeCell ref="V235:X235"/>
    <mergeCell ref="Y235:AB235"/>
    <mergeCell ref="AC235:AF235"/>
    <mergeCell ref="AG235:AJ235"/>
    <mergeCell ref="AK235:AN235"/>
    <mergeCell ref="AO235:AR235"/>
    <mergeCell ref="C236:X236"/>
    <mergeCell ref="Y236:AN236"/>
    <mergeCell ref="AO236:AR236"/>
    <mergeCell ref="C231:E231"/>
    <mergeCell ref="F231:U231"/>
    <mergeCell ref="V231:X231"/>
    <mergeCell ref="Y231:AB231"/>
    <mergeCell ref="AC231:AF231"/>
    <mergeCell ref="AG231:AJ231"/>
    <mergeCell ref="AK231:AN231"/>
    <mergeCell ref="AO231:AR231"/>
    <mergeCell ref="C232:E232"/>
    <mergeCell ref="F232:U232"/>
    <mergeCell ref="V232:X232"/>
    <mergeCell ref="Y232:AB232"/>
    <mergeCell ref="AC232:AF232"/>
    <mergeCell ref="AG232:AJ232"/>
    <mergeCell ref="AK232:AN232"/>
    <mergeCell ref="AO232:AR232"/>
    <mergeCell ref="C233:E233"/>
    <mergeCell ref="F233:U233"/>
    <mergeCell ref="V233:X233"/>
    <mergeCell ref="Y233:AB233"/>
    <mergeCell ref="AC233:AF233"/>
    <mergeCell ref="AG233:AJ233"/>
    <mergeCell ref="AK233:AN233"/>
    <mergeCell ref="AO233:AR233"/>
    <mergeCell ref="C228:E228"/>
    <mergeCell ref="F228:U228"/>
    <mergeCell ref="V228:X228"/>
    <mergeCell ref="Y228:AB228"/>
    <mergeCell ref="AC228:AF228"/>
    <mergeCell ref="AG228:AJ228"/>
    <mergeCell ref="AK228:AN228"/>
    <mergeCell ref="AO228:AR228"/>
    <mergeCell ref="C229:E229"/>
    <mergeCell ref="F229:U229"/>
    <mergeCell ref="V229:X229"/>
    <mergeCell ref="Y229:AB229"/>
    <mergeCell ref="AC229:AF229"/>
    <mergeCell ref="AG229:AJ229"/>
    <mergeCell ref="AK229:AN229"/>
    <mergeCell ref="AO229:AR229"/>
    <mergeCell ref="C230:E230"/>
    <mergeCell ref="F230:U230"/>
    <mergeCell ref="V230:X230"/>
    <mergeCell ref="Y230:AB230"/>
    <mergeCell ref="AC230:AF230"/>
    <mergeCell ref="AG230:AJ230"/>
    <mergeCell ref="AK230:AN230"/>
    <mergeCell ref="AO230:AR230"/>
    <mergeCell ref="C221:AR222"/>
    <mergeCell ref="C153:E154"/>
    <mergeCell ref="F153:U154"/>
    <mergeCell ref="V153:X154"/>
    <mergeCell ref="Y153:AF153"/>
    <mergeCell ref="C223:F224"/>
    <mergeCell ref="G223:J224"/>
    <mergeCell ref="K223:N224"/>
    <mergeCell ref="O223:AK224"/>
    <mergeCell ref="AL223:AO224"/>
    <mergeCell ref="AP223:AR224"/>
    <mergeCell ref="C226:E227"/>
    <mergeCell ref="F226:U227"/>
    <mergeCell ref="V226:X227"/>
    <mergeCell ref="Y226:AF226"/>
    <mergeCell ref="AG226:AN226"/>
    <mergeCell ref="AO226:AR227"/>
    <mergeCell ref="Y227:AB227"/>
    <mergeCell ref="AC227:AF227"/>
    <mergeCell ref="AG227:AJ227"/>
    <mergeCell ref="AK227:AN227"/>
    <mergeCell ref="AK155:AN155"/>
    <mergeCell ref="AO155:AR155"/>
    <mergeCell ref="C156:E156"/>
    <mergeCell ref="F156:U156"/>
    <mergeCell ref="V156:X156"/>
    <mergeCell ref="Y156:AB156"/>
    <mergeCell ref="AC156:AF156"/>
    <mergeCell ref="AG156:AJ156"/>
    <mergeCell ref="AK156:AN156"/>
    <mergeCell ref="AO156:AR156"/>
    <mergeCell ref="C155:E155"/>
    <mergeCell ref="AC139:AR139"/>
    <mergeCell ref="C140:H140"/>
    <mergeCell ref="I140:J140"/>
    <mergeCell ref="K140:Z140"/>
    <mergeCell ref="AA140:AB140"/>
    <mergeCell ref="AC140:AR140"/>
    <mergeCell ref="C139:H139"/>
    <mergeCell ref="I139:J139"/>
    <mergeCell ref="K139:Z139"/>
    <mergeCell ref="AA139:AB139"/>
    <mergeCell ref="AC141:AR141"/>
    <mergeCell ref="C143:F143"/>
    <mergeCell ref="G143:AA143"/>
    <mergeCell ref="AB143:AI146"/>
    <mergeCell ref="AJ143:AR146"/>
    <mergeCell ref="C144:F144"/>
    <mergeCell ref="C141:H141"/>
    <mergeCell ref="I141:J141"/>
    <mergeCell ref="K141:Z141"/>
    <mergeCell ref="AA141:AB141"/>
    <mergeCell ref="G144:AA144"/>
    <mergeCell ref="C145:F145"/>
    <mergeCell ref="G145:AA145"/>
    <mergeCell ref="C146:AA146"/>
    <mergeCell ref="AC136:AR136"/>
    <mergeCell ref="C132:X134"/>
    <mergeCell ref="Y132:AN132"/>
    <mergeCell ref="AO132:AR132"/>
    <mergeCell ref="Y133:AG133"/>
    <mergeCell ref="AH133:AN133"/>
    <mergeCell ref="AO133:AR133"/>
    <mergeCell ref="C136:H136"/>
    <mergeCell ref="I136:J136"/>
    <mergeCell ref="K136:Z136"/>
    <mergeCell ref="AA136:AB136"/>
    <mergeCell ref="AC137:AR137"/>
    <mergeCell ref="C138:H138"/>
    <mergeCell ref="I138:J138"/>
    <mergeCell ref="K138:Z138"/>
    <mergeCell ref="AA138:AB138"/>
    <mergeCell ref="AC138:AR138"/>
    <mergeCell ref="C137:H137"/>
    <mergeCell ref="I137:J137"/>
    <mergeCell ref="K137:Z137"/>
    <mergeCell ref="AA137:AB137"/>
    <mergeCell ref="AK129:AN129"/>
    <mergeCell ref="C129:E129"/>
    <mergeCell ref="F129:R129"/>
    <mergeCell ref="S129:U129"/>
    <mergeCell ref="V129:X129"/>
    <mergeCell ref="Y128:AD128"/>
    <mergeCell ref="AE128:AG128"/>
    <mergeCell ref="AH128:AJ128"/>
    <mergeCell ref="A134:B134"/>
    <mergeCell ref="Y134:AN134"/>
    <mergeCell ref="AO134:AR134"/>
    <mergeCell ref="AO129:AR129"/>
    <mergeCell ref="C130:X130"/>
    <mergeCell ref="Y130:AN130"/>
    <mergeCell ref="AO130:AR130"/>
    <mergeCell ref="Y129:AD129"/>
    <mergeCell ref="AE129:AG129"/>
    <mergeCell ref="AH129:AJ129"/>
    <mergeCell ref="Y126:AD126"/>
    <mergeCell ref="AE126:AG126"/>
    <mergeCell ref="AH126:AJ126"/>
    <mergeCell ref="AK126:AN126"/>
    <mergeCell ref="C126:E126"/>
    <mergeCell ref="F126:R126"/>
    <mergeCell ref="S126:U126"/>
    <mergeCell ref="V126:X126"/>
    <mergeCell ref="AO126:AR126"/>
    <mergeCell ref="S127:U127"/>
    <mergeCell ref="V127:X127"/>
    <mergeCell ref="AK128:AN128"/>
    <mergeCell ref="AO128:AR128"/>
    <mergeCell ref="Y127:AD127"/>
    <mergeCell ref="AE127:AG127"/>
    <mergeCell ref="AH127:AJ127"/>
    <mergeCell ref="AK127:AN127"/>
    <mergeCell ref="AO127:AR127"/>
    <mergeCell ref="C127:E127"/>
    <mergeCell ref="F127:R127"/>
    <mergeCell ref="C128:E128"/>
    <mergeCell ref="F128:R128"/>
    <mergeCell ref="S128:U128"/>
    <mergeCell ref="V128:X128"/>
    <mergeCell ref="Y124:AD124"/>
    <mergeCell ref="AE124:AG124"/>
    <mergeCell ref="AH124:AJ124"/>
    <mergeCell ref="AK124:AN124"/>
    <mergeCell ref="C124:E124"/>
    <mergeCell ref="F124:R124"/>
    <mergeCell ref="S124:U124"/>
    <mergeCell ref="V124:X124"/>
    <mergeCell ref="AO124:AR124"/>
    <mergeCell ref="C125:E125"/>
    <mergeCell ref="F125:R125"/>
    <mergeCell ref="S125:U125"/>
    <mergeCell ref="V125:X125"/>
    <mergeCell ref="Y125:AD125"/>
    <mergeCell ref="AE125:AG125"/>
    <mergeCell ref="AH125:AJ125"/>
    <mergeCell ref="AK125:AN125"/>
    <mergeCell ref="AO125:AR125"/>
    <mergeCell ref="AH122:AJ123"/>
    <mergeCell ref="AK122:AN123"/>
    <mergeCell ref="AO122:AR123"/>
    <mergeCell ref="AC119:AF119"/>
    <mergeCell ref="AG119:AJ119"/>
    <mergeCell ref="Y122:AD123"/>
    <mergeCell ref="AE122:AG123"/>
    <mergeCell ref="C120:X120"/>
    <mergeCell ref="Y120:AN120"/>
    <mergeCell ref="AO120:AR120"/>
    <mergeCell ref="C119:E119"/>
    <mergeCell ref="F119:AB119"/>
    <mergeCell ref="AK119:AN119"/>
    <mergeCell ref="AO119:AR119"/>
    <mergeCell ref="C122:E123"/>
    <mergeCell ref="F122:R123"/>
    <mergeCell ref="S122:U123"/>
    <mergeCell ref="V122:X123"/>
    <mergeCell ref="C114:E114"/>
    <mergeCell ref="F114:AB114"/>
    <mergeCell ref="AC113:AF113"/>
    <mergeCell ref="AG113:AJ113"/>
    <mergeCell ref="AC116:AF116"/>
    <mergeCell ref="AG116:AJ116"/>
    <mergeCell ref="C116:E116"/>
    <mergeCell ref="F116:AB116"/>
    <mergeCell ref="AK114:AN114"/>
    <mergeCell ref="AO114:AR114"/>
    <mergeCell ref="AC114:AF114"/>
    <mergeCell ref="AG114:AJ114"/>
    <mergeCell ref="AK115:AN115"/>
    <mergeCell ref="AO115:AR115"/>
    <mergeCell ref="AK116:AN116"/>
    <mergeCell ref="AO116:AR116"/>
    <mergeCell ref="AK118:AN118"/>
    <mergeCell ref="AO118:AR118"/>
    <mergeCell ref="C115:E115"/>
    <mergeCell ref="F115:AB115"/>
    <mergeCell ref="AC115:AF115"/>
    <mergeCell ref="AG115:AJ115"/>
    <mergeCell ref="AK117:AN117"/>
    <mergeCell ref="AO117:AR117"/>
    <mergeCell ref="AC118:AF118"/>
    <mergeCell ref="AG118:AJ118"/>
    <mergeCell ref="AC117:AF117"/>
    <mergeCell ref="AG117:AJ117"/>
    <mergeCell ref="C117:E117"/>
    <mergeCell ref="F117:AB117"/>
    <mergeCell ref="C118:E118"/>
    <mergeCell ref="F118:AB118"/>
    <mergeCell ref="C110:E110"/>
    <mergeCell ref="F110:AB110"/>
    <mergeCell ref="AC110:AF110"/>
    <mergeCell ref="AG110:AJ110"/>
    <mergeCell ref="AK110:AN110"/>
    <mergeCell ref="AO110:AR110"/>
    <mergeCell ref="C108:E109"/>
    <mergeCell ref="F108:AB109"/>
    <mergeCell ref="AC108:AF109"/>
    <mergeCell ref="C111:E111"/>
    <mergeCell ref="F111:AB111"/>
    <mergeCell ref="AC111:AF111"/>
    <mergeCell ref="AG111:AJ111"/>
    <mergeCell ref="AK111:AN111"/>
    <mergeCell ref="AO111:AR111"/>
    <mergeCell ref="AK113:AN113"/>
    <mergeCell ref="AO113:AR113"/>
    <mergeCell ref="AK112:AN112"/>
    <mergeCell ref="AO112:AR112"/>
    <mergeCell ref="C112:E112"/>
    <mergeCell ref="F112:AB112"/>
    <mergeCell ref="AC112:AF112"/>
    <mergeCell ref="AG112:AJ112"/>
    <mergeCell ref="C113:E113"/>
    <mergeCell ref="F113:AB113"/>
    <mergeCell ref="C103:X103"/>
    <mergeCell ref="Y103:AN103"/>
    <mergeCell ref="AO103:AR103"/>
    <mergeCell ref="C102:X102"/>
    <mergeCell ref="Y102:AF102"/>
    <mergeCell ref="AG102:AJ102"/>
    <mergeCell ref="AK102:AN102"/>
    <mergeCell ref="AO102:AR102"/>
    <mergeCell ref="AO105:AR105"/>
    <mergeCell ref="C106:P106"/>
    <mergeCell ref="Q106:U106"/>
    <mergeCell ref="V106:X106"/>
    <mergeCell ref="Y106:AN106"/>
    <mergeCell ref="AO106:AR106"/>
    <mergeCell ref="AG108:AJ109"/>
    <mergeCell ref="C105:X105"/>
    <mergeCell ref="Y105:AN105"/>
    <mergeCell ref="AK108:AN109"/>
    <mergeCell ref="AO108:AR109"/>
    <mergeCell ref="AC100:AF100"/>
    <mergeCell ref="AK99:AN99"/>
    <mergeCell ref="AO99:AR99"/>
    <mergeCell ref="AK98:AN98"/>
    <mergeCell ref="C98:E98"/>
    <mergeCell ref="F98:AB98"/>
    <mergeCell ref="AC98:AF98"/>
    <mergeCell ref="AG98:AJ98"/>
    <mergeCell ref="AG100:AJ100"/>
    <mergeCell ref="AK101:AN101"/>
    <mergeCell ref="AO101:AR101"/>
    <mergeCell ref="AK100:AN100"/>
    <mergeCell ref="AO100:AR100"/>
    <mergeCell ref="C100:E100"/>
    <mergeCell ref="F100:AB100"/>
    <mergeCell ref="C101:E101"/>
    <mergeCell ref="F101:AB101"/>
    <mergeCell ref="AC101:AF101"/>
    <mergeCell ref="AG101:AJ101"/>
    <mergeCell ref="AO97:AR97"/>
    <mergeCell ref="C94:E94"/>
    <mergeCell ref="F94:AB94"/>
    <mergeCell ref="AC94:AF94"/>
    <mergeCell ref="AG94:AJ94"/>
    <mergeCell ref="AK96:AN96"/>
    <mergeCell ref="AO96:AR96"/>
    <mergeCell ref="C95:E95"/>
    <mergeCell ref="F95:AB95"/>
    <mergeCell ref="AC95:AF95"/>
    <mergeCell ref="AK97:AN97"/>
    <mergeCell ref="F99:AB99"/>
    <mergeCell ref="C96:E96"/>
    <mergeCell ref="F96:AB96"/>
    <mergeCell ref="C97:E97"/>
    <mergeCell ref="F97:AB97"/>
    <mergeCell ref="AC97:AF97"/>
    <mergeCell ref="AG97:AJ97"/>
    <mergeCell ref="AC96:AF96"/>
    <mergeCell ref="AG96:AJ96"/>
    <mergeCell ref="C99:E99"/>
    <mergeCell ref="AO94:AR94"/>
    <mergeCell ref="AK95:AN95"/>
    <mergeCell ref="AO95:AR95"/>
    <mergeCell ref="AC99:AF99"/>
    <mergeCell ref="AG99:AJ99"/>
    <mergeCell ref="AO98:AR98"/>
    <mergeCell ref="C88:E88"/>
    <mergeCell ref="F88:U88"/>
    <mergeCell ref="V88:X88"/>
    <mergeCell ref="Y88:AB88"/>
    <mergeCell ref="AK88:AN88"/>
    <mergeCell ref="AO88:AR88"/>
    <mergeCell ref="AC88:AF88"/>
    <mergeCell ref="AG88:AJ88"/>
    <mergeCell ref="C89:E89"/>
    <mergeCell ref="F89:U89"/>
    <mergeCell ref="V89:X89"/>
    <mergeCell ref="Y89:AB89"/>
    <mergeCell ref="AC89:AF89"/>
    <mergeCell ref="AG89:AJ89"/>
    <mergeCell ref="AK89:AN89"/>
    <mergeCell ref="AO89:AR89"/>
    <mergeCell ref="AG95:AJ95"/>
    <mergeCell ref="C90:X90"/>
    <mergeCell ref="Y90:AN90"/>
    <mergeCell ref="AK94:AN94"/>
    <mergeCell ref="AO90:AR90"/>
    <mergeCell ref="C92:E93"/>
    <mergeCell ref="F92:AB93"/>
    <mergeCell ref="AC92:AF93"/>
    <mergeCell ref="AG92:AJ93"/>
    <mergeCell ref="AK92:AN93"/>
    <mergeCell ref="AO92:AR93"/>
    <mergeCell ref="C85:E85"/>
    <mergeCell ref="F85:U85"/>
    <mergeCell ref="V85:X85"/>
    <mergeCell ref="Y85:AB85"/>
    <mergeCell ref="AC85:AF85"/>
    <mergeCell ref="AG85:AJ85"/>
    <mergeCell ref="AK85:AN85"/>
    <mergeCell ref="AO85:AR85"/>
    <mergeCell ref="C87:E87"/>
    <mergeCell ref="F87:U87"/>
    <mergeCell ref="V87:X87"/>
    <mergeCell ref="Y87:AB87"/>
    <mergeCell ref="C86:E86"/>
    <mergeCell ref="F86:U86"/>
    <mergeCell ref="V86:X86"/>
    <mergeCell ref="Y86:AB86"/>
    <mergeCell ref="AK86:AN86"/>
    <mergeCell ref="AO86:AR86"/>
    <mergeCell ref="AC87:AF87"/>
    <mergeCell ref="AG87:AJ87"/>
    <mergeCell ref="AK87:AN87"/>
    <mergeCell ref="AO87:AR87"/>
    <mergeCell ref="AC86:AF86"/>
    <mergeCell ref="AG86:AJ86"/>
    <mergeCell ref="V83:X83"/>
    <mergeCell ref="Y83:AB83"/>
    <mergeCell ref="AC83:AF83"/>
    <mergeCell ref="AG83:AJ83"/>
    <mergeCell ref="AO83:AR83"/>
    <mergeCell ref="AK81:AN81"/>
    <mergeCell ref="AK82:AN82"/>
    <mergeCell ref="AO82:AR82"/>
    <mergeCell ref="AK83:AN83"/>
    <mergeCell ref="C84:E84"/>
    <mergeCell ref="F84:U84"/>
    <mergeCell ref="V84:X84"/>
    <mergeCell ref="Y84:AB84"/>
    <mergeCell ref="AC84:AF84"/>
    <mergeCell ref="AG84:AJ84"/>
    <mergeCell ref="AK84:AN84"/>
    <mergeCell ref="C83:E83"/>
    <mergeCell ref="F83:U83"/>
    <mergeCell ref="AO84:AR84"/>
    <mergeCell ref="C75:AR76"/>
    <mergeCell ref="C77:F78"/>
    <mergeCell ref="G77:J78"/>
    <mergeCell ref="K77:N78"/>
    <mergeCell ref="O77:AK78"/>
    <mergeCell ref="AL77:AO78"/>
    <mergeCell ref="AP77:AR78"/>
    <mergeCell ref="C80:E81"/>
    <mergeCell ref="F80:U81"/>
    <mergeCell ref="V80:X81"/>
    <mergeCell ref="Y80:AF80"/>
    <mergeCell ref="AG80:AN80"/>
    <mergeCell ref="AO80:AR81"/>
    <mergeCell ref="Y81:AB81"/>
    <mergeCell ref="AC81:AF81"/>
    <mergeCell ref="AG81:AJ81"/>
    <mergeCell ref="C82:E82"/>
    <mergeCell ref="F82:U82"/>
    <mergeCell ref="V82:X82"/>
    <mergeCell ref="Y82:AB82"/>
    <mergeCell ref="AC82:AF82"/>
    <mergeCell ref="AG82:AJ82"/>
    <mergeCell ref="I65:J65"/>
    <mergeCell ref="K65:Z65"/>
    <mergeCell ref="AA65:AB65"/>
    <mergeCell ref="AC64:AR64"/>
    <mergeCell ref="C67:H67"/>
    <mergeCell ref="I67:J67"/>
    <mergeCell ref="K67:Z67"/>
    <mergeCell ref="AC65:AR65"/>
    <mergeCell ref="C66:H66"/>
    <mergeCell ref="I66:J66"/>
    <mergeCell ref="K66:Z66"/>
    <mergeCell ref="AA66:AB66"/>
    <mergeCell ref="AC66:AR66"/>
    <mergeCell ref="C65:H65"/>
    <mergeCell ref="G72:AA72"/>
    <mergeCell ref="AA67:AB67"/>
    <mergeCell ref="G70:AA70"/>
    <mergeCell ref="AB70:AI73"/>
    <mergeCell ref="AC67:AR67"/>
    <mergeCell ref="C68:H68"/>
    <mergeCell ref="I68:J68"/>
    <mergeCell ref="K68:Z68"/>
    <mergeCell ref="AA68:AB68"/>
    <mergeCell ref="AC68:AR68"/>
    <mergeCell ref="AJ70:AR73"/>
    <mergeCell ref="C73:AA73"/>
    <mergeCell ref="C70:F70"/>
    <mergeCell ref="C71:F71"/>
    <mergeCell ref="G71:AA71"/>
    <mergeCell ref="C72:F72"/>
    <mergeCell ref="A61:B61"/>
    <mergeCell ref="C63:H63"/>
    <mergeCell ref="I63:J63"/>
    <mergeCell ref="K63:Z63"/>
    <mergeCell ref="C59:X61"/>
    <mergeCell ref="Y59:AN59"/>
    <mergeCell ref="AA63:AB63"/>
    <mergeCell ref="AC63:AR63"/>
    <mergeCell ref="Y60:AG60"/>
    <mergeCell ref="AH60:AN60"/>
    <mergeCell ref="C64:H64"/>
    <mergeCell ref="I64:J64"/>
    <mergeCell ref="K64:Z64"/>
    <mergeCell ref="AA64:AB64"/>
    <mergeCell ref="AO60:AR60"/>
    <mergeCell ref="AO61:AR61"/>
    <mergeCell ref="Y61:AN61"/>
    <mergeCell ref="S56:U56"/>
    <mergeCell ref="V56:X56"/>
    <mergeCell ref="AK53:AN53"/>
    <mergeCell ref="AK56:AN56"/>
    <mergeCell ref="Y54:AD54"/>
    <mergeCell ref="AE54:AG54"/>
    <mergeCell ref="C56:E56"/>
    <mergeCell ref="F56:R56"/>
    <mergeCell ref="C54:E54"/>
    <mergeCell ref="F54:R54"/>
    <mergeCell ref="Y55:AD55"/>
    <mergeCell ref="AE55:AG55"/>
    <mergeCell ref="C55:E55"/>
    <mergeCell ref="F55:R55"/>
    <mergeCell ref="S55:U55"/>
    <mergeCell ref="V55:X55"/>
    <mergeCell ref="AO59:AR59"/>
    <mergeCell ref="AH55:AJ55"/>
    <mergeCell ref="AK55:AN55"/>
    <mergeCell ref="AO56:AR56"/>
    <mergeCell ref="C57:X57"/>
    <mergeCell ref="Y57:AN57"/>
    <mergeCell ref="AO57:AR57"/>
    <mergeCell ref="Y56:AD56"/>
    <mergeCell ref="AE56:AG56"/>
    <mergeCell ref="AH56:AJ56"/>
    <mergeCell ref="C51:E51"/>
    <mergeCell ref="F51:R51"/>
    <mergeCell ref="S51:U51"/>
    <mergeCell ref="V51:X51"/>
    <mergeCell ref="Y51:AD51"/>
    <mergeCell ref="AE51:AG51"/>
    <mergeCell ref="AH51:AJ51"/>
    <mergeCell ref="AK51:AN51"/>
    <mergeCell ref="AO51:AR51"/>
    <mergeCell ref="AE52:AG52"/>
    <mergeCell ref="AH52:AJ52"/>
    <mergeCell ref="AK52:AN52"/>
    <mergeCell ref="C52:E52"/>
    <mergeCell ref="F52:R52"/>
    <mergeCell ref="S52:U52"/>
    <mergeCell ref="V52:X52"/>
    <mergeCell ref="AO55:AR55"/>
    <mergeCell ref="AO52:AR52"/>
    <mergeCell ref="C53:E53"/>
    <mergeCell ref="F53:R53"/>
    <mergeCell ref="S53:U53"/>
    <mergeCell ref="V53:X53"/>
    <mergeCell ref="Y53:AD53"/>
    <mergeCell ref="AE53:AG53"/>
    <mergeCell ref="AH53:AJ53"/>
    <mergeCell ref="Y52:AD52"/>
    <mergeCell ref="AO53:AR53"/>
    <mergeCell ref="AH54:AJ54"/>
    <mergeCell ref="AK54:AN54"/>
    <mergeCell ref="S54:U54"/>
    <mergeCell ref="V54:X54"/>
    <mergeCell ref="AO54:AR54"/>
    <mergeCell ref="Y50:AD50"/>
    <mergeCell ref="AE50:AG50"/>
    <mergeCell ref="AH50:AJ50"/>
    <mergeCell ref="C49:E49"/>
    <mergeCell ref="F49:R49"/>
    <mergeCell ref="S49:U49"/>
    <mergeCell ref="V49:X49"/>
    <mergeCell ref="AK49:AN49"/>
    <mergeCell ref="AO49:AR49"/>
    <mergeCell ref="AK50:AN50"/>
    <mergeCell ref="C50:E50"/>
    <mergeCell ref="F50:R50"/>
    <mergeCell ref="S50:U50"/>
    <mergeCell ref="V50:X50"/>
    <mergeCell ref="Y49:AD49"/>
    <mergeCell ref="AE49:AG49"/>
    <mergeCell ref="AH49:AJ49"/>
    <mergeCell ref="AO50:AR50"/>
    <mergeCell ref="AH47:AJ48"/>
    <mergeCell ref="AK47:AN48"/>
    <mergeCell ref="C47:E48"/>
    <mergeCell ref="F47:R48"/>
    <mergeCell ref="S47:U48"/>
    <mergeCell ref="V47:X48"/>
    <mergeCell ref="Y47:AD48"/>
    <mergeCell ref="AE47:AG48"/>
    <mergeCell ref="AO47:AR48"/>
    <mergeCell ref="AC44:AF44"/>
    <mergeCell ref="AG44:AJ44"/>
    <mergeCell ref="C45:X45"/>
    <mergeCell ref="Y45:AN45"/>
    <mergeCell ref="AO45:AR45"/>
    <mergeCell ref="C44:E44"/>
    <mergeCell ref="F44:AB44"/>
    <mergeCell ref="AK44:AN44"/>
    <mergeCell ref="AO44:AR44"/>
    <mergeCell ref="AG38:AJ38"/>
    <mergeCell ref="C40:E40"/>
    <mergeCell ref="F40:AB40"/>
    <mergeCell ref="AC40:AF40"/>
    <mergeCell ref="AG40:AJ40"/>
    <mergeCell ref="AO42:AR42"/>
    <mergeCell ref="C41:E41"/>
    <mergeCell ref="F41:AB41"/>
    <mergeCell ref="AC41:AF41"/>
    <mergeCell ref="AG41:AJ41"/>
    <mergeCell ref="C42:E42"/>
    <mergeCell ref="F42:AB42"/>
    <mergeCell ref="AO40:AR40"/>
    <mergeCell ref="AK41:AN41"/>
    <mergeCell ref="AO41:AR41"/>
    <mergeCell ref="AC43:AF43"/>
    <mergeCell ref="AG43:AJ43"/>
    <mergeCell ref="AC42:AF42"/>
    <mergeCell ref="AG42:AJ42"/>
    <mergeCell ref="AK43:AN43"/>
    <mergeCell ref="AO43:AR43"/>
    <mergeCell ref="AK42:AN42"/>
    <mergeCell ref="C43:E43"/>
    <mergeCell ref="F43:AB43"/>
    <mergeCell ref="AO32:AR32"/>
    <mergeCell ref="C33:P33"/>
    <mergeCell ref="Q33:U33"/>
    <mergeCell ref="V33:X33"/>
    <mergeCell ref="Y33:AN33"/>
    <mergeCell ref="AO33:AR33"/>
    <mergeCell ref="C32:X32"/>
    <mergeCell ref="Y32:AN32"/>
    <mergeCell ref="AK40:AN40"/>
    <mergeCell ref="AK39:AN39"/>
    <mergeCell ref="C37:E37"/>
    <mergeCell ref="F37:AB37"/>
    <mergeCell ref="AC37:AF37"/>
    <mergeCell ref="AG37:AJ37"/>
    <mergeCell ref="C38:E38"/>
    <mergeCell ref="F38:AB38"/>
    <mergeCell ref="C39:E39"/>
    <mergeCell ref="F39:AB39"/>
    <mergeCell ref="C35:E36"/>
    <mergeCell ref="F35:AB36"/>
    <mergeCell ref="AC35:AF36"/>
    <mergeCell ref="AG35:AJ36"/>
    <mergeCell ref="AO35:AR36"/>
    <mergeCell ref="AK37:AN37"/>
    <mergeCell ref="AO37:AR37"/>
    <mergeCell ref="AK35:AN36"/>
    <mergeCell ref="AC39:AF39"/>
    <mergeCell ref="AG39:AJ39"/>
    <mergeCell ref="AC38:AF38"/>
    <mergeCell ref="AO39:AR39"/>
    <mergeCell ref="AK38:AN38"/>
    <mergeCell ref="AO38:AR38"/>
    <mergeCell ref="AC25:AF25"/>
    <mergeCell ref="AG25:AJ25"/>
    <mergeCell ref="AG22:AJ22"/>
    <mergeCell ref="C27:E27"/>
    <mergeCell ref="F27:AB27"/>
    <mergeCell ref="AC28:AF28"/>
    <mergeCell ref="AG28:AJ28"/>
    <mergeCell ref="AC27:AF27"/>
    <mergeCell ref="AO29:AR29"/>
    <mergeCell ref="AG27:AJ27"/>
    <mergeCell ref="AK28:AN28"/>
    <mergeCell ref="AO28:AR28"/>
    <mergeCell ref="AK27:AN27"/>
    <mergeCell ref="AO27:AR27"/>
    <mergeCell ref="C30:X30"/>
    <mergeCell ref="Y30:AN30"/>
    <mergeCell ref="AO30:AR30"/>
    <mergeCell ref="C29:X29"/>
    <mergeCell ref="Y29:AF29"/>
    <mergeCell ref="AG29:AJ29"/>
    <mergeCell ref="AK29:AN29"/>
    <mergeCell ref="C28:E28"/>
    <mergeCell ref="F28:AB28"/>
    <mergeCell ref="AO24:AR24"/>
    <mergeCell ref="C21:E21"/>
    <mergeCell ref="F21:AB21"/>
    <mergeCell ref="AC21:AF21"/>
    <mergeCell ref="AG21:AJ21"/>
    <mergeCell ref="AK23:AN23"/>
    <mergeCell ref="AO23:AR23"/>
    <mergeCell ref="C22:E22"/>
    <mergeCell ref="F22:AB22"/>
    <mergeCell ref="AC22:AF22"/>
    <mergeCell ref="AK24:AN24"/>
    <mergeCell ref="F26:AB26"/>
    <mergeCell ref="C23:E23"/>
    <mergeCell ref="F23:AB23"/>
    <mergeCell ref="C24:E24"/>
    <mergeCell ref="F24:AB24"/>
    <mergeCell ref="AC24:AF24"/>
    <mergeCell ref="AG24:AJ24"/>
    <mergeCell ref="AC23:AF23"/>
    <mergeCell ref="AG23:AJ23"/>
    <mergeCell ref="C26:E26"/>
    <mergeCell ref="AO21:AR21"/>
    <mergeCell ref="AK22:AN22"/>
    <mergeCell ref="AO22:AR22"/>
    <mergeCell ref="AC26:AF26"/>
    <mergeCell ref="AG26:AJ26"/>
    <mergeCell ref="AO25:AR25"/>
    <mergeCell ref="AK26:AN26"/>
    <mergeCell ref="AO26:AR26"/>
    <mergeCell ref="AK25:AN25"/>
    <mergeCell ref="C25:E25"/>
    <mergeCell ref="F25:AB25"/>
    <mergeCell ref="F15:U15"/>
    <mergeCell ref="V15:X15"/>
    <mergeCell ref="AK13:AN13"/>
    <mergeCell ref="AO13:AR13"/>
    <mergeCell ref="AC14:AF14"/>
    <mergeCell ref="AG14:AJ14"/>
    <mergeCell ref="C17:X17"/>
    <mergeCell ref="Y17:AN17"/>
    <mergeCell ref="AK21:AN21"/>
    <mergeCell ref="AO17:AR17"/>
    <mergeCell ref="C19:E20"/>
    <mergeCell ref="F19:AB20"/>
    <mergeCell ref="AC19:AF20"/>
    <mergeCell ref="AG19:AJ20"/>
    <mergeCell ref="AK19:AN20"/>
    <mergeCell ref="AO19:AR20"/>
    <mergeCell ref="Y15:AB15"/>
    <mergeCell ref="AG11:AJ11"/>
    <mergeCell ref="V9:X9"/>
    <mergeCell ref="C11:E11"/>
    <mergeCell ref="Y10:AB10"/>
    <mergeCell ref="Y9:AB9"/>
    <mergeCell ref="C10:E10"/>
    <mergeCell ref="V11:X11"/>
    <mergeCell ref="Y11:AB11"/>
    <mergeCell ref="C16:E16"/>
    <mergeCell ref="F16:U16"/>
    <mergeCell ref="V16:X16"/>
    <mergeCell ref="Y16:AB16"/>
    <mergeCell ref="AC16:AF16"/>
    <mergeCell ref="AG16:AJ16"/>
    <mergeCell ref="AK16:AN16"/>
    <mergeCell ref="AO16:AR16"/>
    <mergeCell ref="AG15:AJ15"/>
    <mergeCell ref="C12:E12"/>
    <mergeCell ref="F12:U12"/>
    <mergeCell ref="V12:X12"/>
    <mergeCell ref="Y12:AB12"/>
    <mergeCell ref="AC12:AF12"/>
    <mergeCell ref="AG12:AJ12"/>
    <mergeCell ref="AK12:AN12"/>
    <mergeCell ref="AK15:AN15"/>
    <mergeCell ref="Y14:AB14"/>
    <mergeCell ref="C13:E13"/>
    <mergeCell ref="F13:U13"/>
    <mergeCell ref="V13:X13"/>
    <mergeCell ref="Y13:AB13"/>
    <mergeCell ref="AC15:AF15"/>
    <mergeCell ref="C15:E15"/>
    <mergeCell ref="AK14:AN14"/>
    <mergeCell ref="AO14:AR14"/>
    <mergeCell ref="AC13:AF13"/>
    <mergeCell ref="AG13:AJ13"/>
    <mergeCell ref="AO15:AR15"/>
    <mergeCell ref="F11:U11"/>
    <mergeCell ref="AG8:AJ8"/>
    <mergeCell ref="AK8:AN8"/>
    <mergeCell ref="AK11:AN11"/>
    <mergeCell ref="AO11:AR11"/>
    <mergeCell ref="C148:AR149"/>
    <mergeCell ref="C150:F151"/>
    <mergeCell ref="G150:J151"/>
    <mergeCell ref="K150:N151"/>
    <mergeCell ref="O150:AK151"/>
    <mergeCell ref="AL150:AO151"/>
    <mergeCell ref="AP150:AR151"/>
    <mergeCell ref="C14:E14"/>
    <mergeCell ref="F14:U14"/>
    <mergeCell ref="V14:X14"/>
    <mergeCell ref="C7:E8"/>
    <mergeCell ref="F10:U10"/>
    <mergeCell ref="V10:X10"/>
    <mergeCell ref="AO12:AR12"/>
    <mergeCell ref="AO9:AR9"/>
    <mergeCell ref="AC10:AF10"/>
    <mergeCell ref="AG10:AJ10"/>
    <mergeCell ref="AK10:AN10"/>
    <mergeCell ref="AO10:AR10"/>
    <mergeCell ref="AC9:AF9"/>
    <mergeCell ref="AG9:AJ9"/>
    <mergeCell ref="AC11:AF11"/>
    <mergeCell ref="C2:AR3"/>
    <mergeCell ref="C4:F5"/>
    <mergeCell ref="G4:J5"/>
    <mergeCell ref="K4:N5"/>
    <mergeCell ref="C9:E9"/>
    <mergeCell ref="F9:U9"/>
    <mergeCell ref="V7:X8"/>
    <mergeCell ref="Y7:AF7"/>
    <mergeCell ref="AG7:AN7"/>
    <mergeCell ref="F7:U8"/>
    <mergeCell ref="AO7:AR8"/>
    <mergeCell ref="AP4:AR5"/>
    <mergeCell ref="O4:AK5"/>
    <mergeCell ref="AL4:AO5"/>
    <mergeCell ref="Y8:AB8"/>
    <mergeCell ref="AC8:AF8"/>
    <mergeCell ref="AK9:AN9"/>
    <mergeCell ref="F155:U155"/>
    <mergeCell ref="V155:X155"/>
    <mergeCell ref="Y155:AB155"/>
    <mergeCell ref="AC155:AF155"/>
    <mergeCell ref="AG155:AJ155"/>
    <mergeCell ref="AG153:AN153"/>
    <mergeCell ref="AO153:AR154"/>
    <mergeCell ref="Y154:AB154"/>
    <mergeCell ref="AC154:AF154"/>
    <mergeCell ref="AG154:AJ154"/>
    <mergeCell ref="AK154:AN154"/>
    <mergeCell ref="AK159:AN159"/>
    <mergeCell ref="AO159:AR159"/>
    <mergeCell ref="C160:E160"/>
    <mergeCell ref="F160:U160"/>
    <mergeCell ref="V160:X160"/>
    <mergeCell ref="Y160:AB160"/>
    <mergeCell ref="AC160:AF160"/>
    <mergeCell ref="AG160:AJ160"/>
    <mergeCell ref="AK160:AN160"/>
    <mergeCell ref="AO160:AR160"/>
    <mergeCell ref="C159:E159"/>
    <mergeCell ref="F159:U159"/>
    <mergeCell ref="V159:X159"/>
    <mergeCell ref="Y159:AB159"/>
    <mergeCell ref="AC159:AF159"/>
    <mergeCell ref="AG159:AJ159"/>
    <mergeCell ref="AK157:AN157"/>
    <mergeCell ref="AO157:AR157"/>
    <mergeCell ref="C158:E158"/>
    <mergeCell ref="F158:U158"/>
    <mergeCell ref="V158:X158"/>
    <mergeCell ref="Y158:AB158"/>
    <mergeCell ref="AC158:AF158"/>
    <mergeCell ref="AG158:AJ158"/>
    <mergeCell ref="AK158:AN158"/>
    <mergeCell ref="AO158:AR158"/>
    <mergeCell ref="C157:E157"/>
    <mergeCell ref="F157:U157"/>
    <mergeCell ref="V157:X157"/>
    <mergeCell ref="Y157:AB157"/>
    <mergeCell ref="AC157:AF157"/>
    <mergeCell ref="AG157:AJ157"/>
    <mergeCell ref="C167:E167"/>
    <mergeCell ref="F167:AB167"/>
    <mergeCell ref="AC167:AF167"/>
    <mergeCell ref="AG167:AJ167"/>
    <mergeCell ref="AK167:AN167"/>
    <mergeCell ref="AO167:AR167"/>
    <mergeCell ref="C163:X163"/>
    <mergeCell ref="Y163:AN163"/>
    <mergeCell ref="AO163:AR163"/>
    <mergeCell ref="C165:E166"/>
    <mergeCell ref="F165:AB166"/>
    <mergeCell ref="AC165:AF166"/>
    <mergeCell ref="AG165:AJ166"/>
    <mergeCell ref="AK165:AN166"/>
    <mergeCell ref="AO165:AR166"/>
    <mergeCell ref="AK161:AN161"/>
    <mergeCell ref="AO161:AR161"/>
    <mergeCell ref="C162:E162"/>
    <mergeCell ref="F162:U162"/>
    <mergeCell ref="V162:X162"/>
    <mergeCell ref="Y162:AB162"/>
    <mergeCell ref="AC162:AF162"/>
    <mergeCell ref="AG162:AJ162"/>
    <mergeCell ref="AK162:AN162"/>
    <mergeCell ref="AO162:AR162"/>
    <mergeCell ref="C161:E161"/>
    <mergeCell ref="F161:U161"/>
    <mergeCell ref="V161:X161"/>
    <mergeCell ref="Y161:AB161"/>
    <mergeCell ref="AC161:AF161"/>
    <mergeCell ref="AG161:AJ161"/>
    <mergeCell ref="C170:E170"/>
    <mergeCell ref="F170:AB170"/>
    <mergeCell ref="AC170:AF170"/>
    <mergeCell ref="AG170:AJ170"/>
    <mergeCell ref="AK170:AN170"/>
    <mergeCell ref="AO170:AR170"/>
    <mergeCell ref="C169:E169"/>
    <mergeCell ref="F169:AB169"/>
    <mergeCell ref="AC169:AF169"/>
    <mergeCell ref="AG169:AJ169"/>
    <mergeCell ref="AK169:AN169"/>
    <mergeCell ref="AO169:AR169"/>
    <mergeCell ref="C168:E168"/>
    <mergeCell ref="F168:AB168"/>
    <mergeCell ref="AC168:AF168"/>
    <mergeCell ref="AG168:AJ168"/>
    <mergeCell ref="AK168:AN168"/>
    <mergeCell ref="AO168:AR168"/>
    <mergeCell ref="C173:E173"/>
    <mergeCell ref="F173:AB173"/>
    <mergeCell ref="AC173:AF173"/>
    <mergeCell ref="AG173:AJ173"/>
    <mergeCell ref="AK173:AN173"/>
    <mergeCell ref="AO173:AR173"/>
    <mergeCell ref="C172:E172"/>
    <mergeCell ref="F172:AB172"/>
    <mergeCell ref="AC172:AF172"/>
    <mergeCell ref="AG172:AJ172"/>
    <mergeCell ref="AK172:AN172"/>
    <mergeCell ref="AO172:AR172"/>
    <mergeCell ref="C171:E171"/>
    <mergeCell ref="F171:AB171"/>
    <mergeCell ref="AC171:AF171"/>
    <mergeCell ref="AG171:AJ171"/>
    <mergeCell ref="AK171:AN171"/>
    <mergeCell ref="AO171:AR171"/>
    <mergeCell ref="C178:X178"/>
    <mergeCell ref="Y178:AN178"/>
    <mergeCell ref="AO178:AR178"/>
    <mergeCell ref="C179:P179"/>
    <mergeCell ref="Q179:U179"/>
    <mergeCell ref="V179:X179"/>
    <mergeCell ref="Y179:AN179"/>
    <mergeCell ref="AO179:AR179"/>
    <mergeCell ref="C175:X175"/>
    <mergeCell ref="Y175:AF175"/>
    <mergeCell ref="AG175:AJ175"/>
    <mergeCell ref="AK175:AN175"/>
    <mergeCell ref="AO175:AR175"/>
    <mergeCell ref="C176:X176"/>
    <mergeCell ref="Y176:AN176"/>
    <mergeCell ref="AO176:AR176"/>
    <mergeCell ref="C174:E174"/>
    <mergeCell ref="F174:AB174"/>
    <mergeCell ref="AC174:AF174"/>
    <mergeCell ref="AG174:AJ174"/>
    <mergeCell ref="AK174:AN174"/>
    <mergeCell ref="AO174:AR174"/>
    <mergeCell ref="C184:E184"/>
    <mergeCell ref="F184:AB184"/>
    <mergeCell ref="AC184:AF184"/>
    <mergeCell ref="AG184:AJ184"/>
    <mergeCell ref="AK184:AN184"/>
    <mergeCell ref="AO184:AR184"/>
    <mergeCell ref="C183:E183"/>
    <mergeCell ref="F183:AB183"/>
    <mergeCell ref="AC183:AF183"/>
    <mergeCell ref="AG183:AJ183"/>
    <mergeCell ref="AK183:AN183"/>
    <mergeCell ref="AO183:AR183"/>
    <mergeCell ref="C181:E182"/>
    <mergeCell ref="F181:AB182"/>
    <mergeCell ref="AC181:AF182"/>
    <mergeCell ref="AG181:AJ182"/>
    <mergeCell ref="AK181:AN182"/>
    <mergeCell ref="AO181:AR182"/>
    <mergeCell ref="C187:E187"/>
    <mergeCell ref="F187:AB187"/>
    <mergeCell ref="AC187:AF187"/>
    <mergeCell ref="AG187:AJ187"/>
    <mergeCell ref="AK187:AN187"/>
    <mergeCell ref="AO187:AR187"/>
    <mergeCell ref="C186:E186"/>
    <mergeCell ref="F186:AB186"/>
    <mergeCell ref="AC186:AF186"/>
    <mergeCell ref="AG186:AJ186"/>
    <mergeCell ref="AK186:AN186"/>
    <mergeCell ref="AO186:AR186"/>
    <mergeCell ref="C185:E185"/>
    <mergeCell ref="F185:AB185"/>
    <mergeCell ref="AC185:AF185"/>
    <mergeCell ref="AG185:AJ185"/>
    <mergeCell ref="AK185:AN185"/>
    <mergeCell ref="AO185:AR185"/>
    <mergeCell ref="C190:E190"/>
    <mergeCell ref="F190:AB190"/>
    <mergeCell ref="AC190:AF190"/>
    <mergeCell ref="AG190:AJ190"/>
    <mergeCell ref="AK190:AN190"/>
    <mergeCell ref="AO190:AR190"/>
    <mergeCell ref="C189:E189"/>
    <mergeCell ref="F189:AB189"/>
    <mergeCell ref="AC189:AF189"/>
    <mergeCell ref="AG189:AJ189"/>
    <mergeCell ref="AK189:AN189"/>
    <mergeCell ref="AO189:AR189"/>
    <mergeCell ref="C188:E188"/>
    <mergeCell ref="F188:AB188"/>
    <mergeCell ref="AC188:AF188"/>
    <mergeCell ref="AG188:AJ188"/>
    <mergeCell ref="AK188:AN188"/>
    <mergeCell ref="AO188:AR188"/>
    <mergeCell ref="AK193:AN194"/>
    <mergeCell ref="AO193:AR194"/>
    <mergeCell ref="C195:E195"/>
    <mergeCell ref="F195:R195"/>
    <mergeCell ref="S195:U195"/>
    <mergeCell ref="V195:X195"/>
    <mergeCell ref="Y195:AD195"/>
    <mergeCell ref="AE195:AG195"/>
    <mergeCell ref="AH195:AJ195"/>
    <mergeCell ref="AK195:AN195"/>
    <mergeCell ref="C191:X191"/>
    <mergeCell ref="Y191:AN191"/>
    <mergeCell ref="AO191:AR191"/>
    <mergeCell ref="C193:E194"/>
    <mergeCell ref="F193:R194"/>
    <mergeCell ref="S193:U194"/>
    <mergeCell ref="V193:X194"/>
    <mergeCell ref="Y193:AD194"/>
    <mergeCell ref="AE193:AG194"/>
    <mergeCell ref="AH193:AJ194"/>
    <mergeCell ref="AH197:AJ197"/>
    <mergeCell ref="AK197:AN197"/>
    <mergeCell ref="AO197:AR197"/>
    <mergeCell ref="C198:E198"/>
    <mergeCell ref="F198:R198"/>
    <mergeCell ref="S198:U198"/>
    <mergeCell ref="V198:X198"/>
    <mergeCell ref="Y198:AD198"/>
    <mergeCell ref="AE198:AG198"/>
    <mergeCell ref="AH198:AJ198"/>
    <mergeCell ref="C197:E197"/>
    <mergeCell ref="F197:R197"/>
    <mergeCell ref="S197:U197"/>
    <mergeCell ref="V197:X197"/>
    <mergeCell ref="Y197:AD197"/>
    <mergeCell ref="AE197:AG197"/>
    <mergeCell ref="AO195:AR195"/>
    <mergeCell ref="C196:E196"/>
    <mergeCell ref="F196:R196"/>
    <mergeCell ref="S196:U196"/>
    <mergeCell ref="V196:X196"/>
    <mergeCell ref="Y196:AD196"/>
    <mergeCell ref="AE196:AG196"/>
    <mergeCell ref="AH196:AJ196"/>
    <mergeCell ref="AK196:AN196"/>
    <mergeCell ref="AO196:AR196"/>
    <mergeCell ref="AO199:AR199"/>
    <mergeCell ref="C200:E200"/>
    <mergeCell ref="F200:R200"/>
    <mergeCell ref="S200:U200"/>
    <mergeCell ref="V200:X200"/>
    <mergeCell ref="Y200:AD200"/>
    <mergeCell ref="AE200:AG200"/>
    <mergeCell ref="AH200:AJ200"/>
    <mergeCell ref="AK200:AN200"/>
    <mergeCell ref="AO200:AR200"/>
    <mergeCell ref="AK198:AN198"/>
    <mergeCell ref="AO198:AR198"/>
    <mergeCell ref="C199:E199"/>
    <mergeCell ref="F199:R199"/>
    <mergeCell ref="S199:U199"/>
    <mergeCell ref="V199:X199"/>
    <mergeCell ref="Y199:AD199"/>
    <mergeCell ref="AE199:AG199"/>
    <mergeCell ref="AH199:AJ199"/>
    <mergeCell ref="AK199:AN199"/>
    <mergeCell ref="AK202:AN202"/>
    <mergeCell ref="AO202:AR202"/>
    <mergeCell ref="C203:X203"/>
    <mergeCell ref="Y203:AN203"/>
    <mergeCell ref="AO203:AR203"/>
    <mergeCell ref="C205:X207"/>
    <mergeCell ref="Y205:AN205"/>
    <mergeCell ref="AO205:AR205"/>
    <mergeCell ref="Y206:AG206"/>
    <mergeCell ref="AH206:AN206"/>
    <mergeCell ref="AH201:AJ201"/>
    <mergeCell ref="AK201:AN201"/>
    <mergeCell ref="AO201:AR201"/>
    <mergeCell ref="C202:E202"/>
    <mergeCell ref="F202:R202"/>
    <mergeCell ref="S202:U202"/>
    <mergeCell ref="V202:X202"/>
    <mergeCell ref="Y202:AD202"/>
    <mergeCell ref="AE202:AG202"/>
    <mergeCell ref="AH202:AJ202"/>
    <mergeCell ref="C201:E201"/>
    <mergeCell ref="F201:R201"/>
    <mergeCell ref="S201:U201"/>
    <mergeCell ref="V201:X201"/>
    <mergeCell ref="Y201:AD201"/>
    <mergeCell ref="AE201:AG201"/>
    <mergeCell ref="C210:H210"/>
    <mergeCell ref="I210:J210"/>
    <mergeCell ref="K210:Z210"/>
    <mergeCell ref="AA210:AB210"/>
    <mergeCell ref="AC210:AR210"/>
    <mergeCell ref="C211:H211"/>
    <mergeCell ref="I211:J211"/>
    <mergeCell ref="K211:Z211"/>
    <mergeCell ref="AA211:AB211"/>
    <mergeCell ref="AC211:AR211"/>
    <mergeCell ref="AO206:AR206"/>
    <mergeCell ref="A207:B207"/>
    <mergeCell ref="Y207:AN207"/>
    <mergeCell ref="AO207:AR207"/>
    <mergeCell ref="C209:H209"/>
    <mergeCell ref="I209:J209"/>
    <mergeCell ref="K209:Z209"/>
    <mergeCell ref="AA209:AB209"/>
    <mergeCell ref="AC209:AR209"/>
    <mergeCell ref="C214:H214"/>
    <mergeCell ref="I214:J214"/>
    <mergeCell ref="K214:Z214"/>
    <mergeCell ref="AA214:AB214"/>
    <mergeCell ref="AC214:AR214"/>
    <mergeCell ref="C216:F216"/>
    <mergeCell ref="G216:AA216"/>
    <mergeCell ref="AB216:AI219"/>
    <mergeCell ref="AJ216:AR219"/>
    <mergeCell ref="C217:F217"/>
    <mergeCell ref="G217:AA217"/>
    <mergeCell ref="C218:F218"/>
    <mergeCell ref="G218:AA218"/>
    <mergeCell ref="C219:AA219"/>
    <mergeCell ref="AC212:AR212"/>
    <mergeCell ref="C213:H213"/>
    <mergeCell ref="I213:J213"/>
    <mergeCell ref="K213:Z213"/>
    <mergeCell ref="AA213:AB213"/>
    <mergeCell ref="AC213:AR213"/>
    <mergeCell ref="C212:H212"/>
    <mergeCell ref="I212:J212"/>
    <mergeCell ref="K212:Z212"/>
    <mergeCell ref="AA212:AB212"/>
  </mergeCells>
  <phoneticPr fontId="0" type="noConversion"/>
  <printOptions horizontalCentered="1" verticalCentered="1"/>
  <pageMargins left="0.78740157480314965" right="0.59055118110236227" top="0.78740157480314965" bottom="0.39370078740157483" header="0" footer="0"/>
  <pageSetup paperSize="9" scale="51" orientation="portrait" horizontalDpi="300" verticalDpi="300" r:id="rId1"/>
  <headerFooter alignWithMargins="0"/>
  <rowBreaks count="19" manualBreakCount="19">
    <brk id="73" min="2" max="43" man="1"/>
    <brk id="146" min="2" max="43" man="1"/>
    <brk id="219" min="2" max="43" man="1"/>
    <brk id="292" min="2" max="43" man="1"/>
    <brk id="366" min="2" max="43" man="1"/>
    <brk id="507" min="2" max="43" man="1"/>
    <brk id="580" min="2" max="43" man="1"/>
    <brk id="726" min="2" max="43" man="1"/>
    <brk id="799" min="2" max="43" man="1"/>
    <brk id="872" min="2" max="43" man="1"/>
    <brk id="945" min="2" max="43" man="1"/>
    <brk id="1018" min="2" max="43" man="1"/>
    <brk id="1091" min="2" max="43" man="1"/>
    <brk id="1164" min="2" max="43" man="1"/>
    <brk id="1237" min="2" max="43" man="1"/>
    <brk id="1310" min="2" max="43" man="1"/>
    <brk id="1383" min="2" max="43" man="1"/>
    <brk id="1456" min="2" max="43" man="1"/>
    <brk id="1529" min="2" max="4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2:AR73"/>
  <sheetViews>
    <sheetView showGridLines="0" showZeros="0" view="pageBreakPreview" zoomScale="60" zoomScaleNormal="67" zoomScaleSheetLayoutView="67" workbookViewId="0">
      <selection activeCell="AB70" sqref="AB70:AI73"/>
    </sheetView>
  </sheetViews>
  <sheetFormatPr defaultColWidth="3.7109375" defaultRowHeight="18" customHeight="1"/>
  <cols>
    <col min="1" max="2" width="9.140625" style="89" customWidth="1"/>
    <col min="3" max="5" width="5.42578125" style="89" customWidth="1"/>
    <col min="6" max="20" width="3.7109375" style="89" customWidth="1"/>
    <col min="21" max="21" width="3.42578125" style="89" customWidth="1"/>
    <col min="22" max="29" width="3.7109375" style="89" customWidth="1"/>
    <col min="30" max="30" width="3.5703125" style="89" customWidth="1"/>
    <col min="31" max="31" width="4.7109375" style="89" customWidth="1"/>
    <col min="32" max="32" width="3.85546875" style="89" customWidth="1"/>
    <col min="33" max="33" width="4.28515625" style="89" customWidth="1"/>
    <col min="34" max="36" width="3.85546875" style="89" customWidth="1"/>
    <col min="37" max="40" width="3.42578125" style="89" customWidth="1"/>
    <col min="41" max="16384" width="3.7109375" style="89"/>
  </cols>
  <sheetData>
    <row r="2" spans="3:44" ht="18" customHeight="1">
      <c r="C2" s="546" t="s">
        <v>64</v>
      </c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547"/>
      <c r="AB2" s="547"/>
      <c r="AC2" s="547"/>
      <c r="AD2" s="547"/>
      <c r="AE2" s="547"/>
      <c r="AF2" s="547"/>
      <c r="AG2" s="547"/>
      <c r="AH2" s="547"/>
      <c r="AI2" s="547"/>
      <c r="AJ2" s="547"/>
      <c r="AK2" s="547"/>
      <c r="AL2" s="547"/>
      <c r="AM2" s="547"/>
      <c r="AN2" s="547"/>
      <c r="AO2" s="547"/>
      <c r="AP2" s="547"/>
      <c r="AQ2" s="547"/>
      <c r="AR2" s="548"/>
    </row>
    <row r="3" spans="3:44" ht="18" customHeight="1">
      <c r="C3" s="549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  <c r="Q3" s="550"/>
      <c r="R3" s="550"/>
      <c r="S3" s="550"/>
      <c r="T3" s="550"/>
      <c r="U3" s="550"/>
      <c r="V3" s="550"/>
      <c r="W3" s="550"/>
      <c r="X3" s="550"/>
      <c r="Y3" s="550"/>
      <c r="Z3" s="550"/>
      <c r="AA3" s="550"/>
      <c r="AB3" s="550"/>
      <c r="AC3" s="550"/>
      <c r="AD3" s="550"/>
      <c r="AE3" s="550"/>
      <c r="AF3" s="550"/>
      <c r="AG3" s="550"/>
      <c r="AH3" s="550"/>
      <c r="AI3" s="550"/>
      <c r="AJ3" s="550"/>
      <c r="AK3" s="550"/>
      <c r="AL3" s="550"/>
      <c r="AM3" s="550"/>
      <c r="AN3" s="550"/>
      <c r="AO3" s="550"/>
      <c r="AP3" s="550"/>
      <c r="AQ3" s="550"/>
      <c r="AR3" s="551"/>
    </row>
    <row r="4" spans="3:44" ht="18" customHeight="1">
      <c r="C4" s="552" t="s">
        <v>65</v>
      </c>
      <c r="D4" s="553"/>
      <c r="E4" s="553"/>
      <c r="F4" s="553"/>
      <c r="G4" s="556" t="s">
        <v>979</v>
      </c>
      <c r="H4" s="556"/>
      <c r="I4" s="556"/>
      <c r="J4" s="557"/>
      <c r="K4" s="560" t="s">
        <v>66</v>
      </c>
      <c r="L4" s="561"/>
      <c r="M4" s="561"/>
      <c r="N4" s="561"/>
      <c r="O4" s="564" t="s">
        <v>980</v>
      </c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0" t="s">
        <v>67</v>
      </c>
      <c r="AM4" s="561"/>
      <c r="AN4" s="561"/>
      <c r="AO4" s="561"/>
      <c r="AP4" s="568" t="s">
        <v>245</v>
      </c>
      <c r="AQ4" s="568"/>
      <c r="AR4" s="569"/>
    </row>
    <row r="5" spans="3:44" ht="18" customHeight="1">
      <c r="C5" s="554"/>
      <c r="D5" s="555"/>
      <c r="E5" s="555"/>
      <c r="F5" s="555"/>
      <c r="G5" s="558"/>
      <c r="H5" s="558"/>
      <c r="I5" s="558"/>
      <c r="J5" s="559"/>
      <c r="K5" s="562"/>
      <c r="L5" s="563"/>
      <c r="M5" s="563"/>
      <c r="N5" s="563"/>
      <c r="O5" s="566"/>
      <c r="P5" s="567"/>
      <c r="Q5" s="567"/>
      <c r="R5" s="567"/>
      <c r="S5" s="567"/>
      <c r="T5" s="567"/>
      <c r="U5" s="567"/>
      <c r="V5" s="567"/>
      <c r="W5" s="567"/>
      <c r="X5" s="567"/>
      <c r="Y5" s="567"/>
      <c r="Z5" s="567"/>
      <c r="AA5" s="567"/>
      <c r="AB5" s="567"/>
      <c r="AC5" s="567"/>
      <c r="AD5" s="567"/>
      <c r="AE5" s="567"/>
      <c r="AF5" s="567"/>
      <c r="AG5" s="567"/>
      <c r="AH5" s="567"/>
      <c r="AI5" s="567"/>
      <c r="AJ5" s="567"/>
      <c r="AK5" s="567"/>
      <c r="AL5" s="562"/>
      <c r="AM5" s="563"/>
      <c r="AN5" s="563"/>
      <c r="AO5" s="563"/>
      <c r="AP5" s="570"/>
      <c r="AQ5" s="570"/>
      <c r="AR5" s="571"/>
    </row>
    <row r="7" spans="3:44" ht="18" customHeight="1">
      <c r="C7" s="572" t="s">
        <v>43</v>
      </c>
      <c r="D7" s="573"/>
      <c r="E7" s="574"/>
      <c r="F7" s="578" t="s">
        <v>68</v>
      </c>
      <c r="G7" s="573"/>
      <c r="H7" s="573"/>
      <c r="I7" s="573"/>
      <c r="J7" s="573"/>
      <c r="K7" s="573"/>
      <c r="L7" s="573"/>
      <c r="M7" s="573"/>
      <c r="N7" s="573"/>
      <c r="O7" s="573"/>
      <c r="P7" s="573"/>
      <c r="Q7" s="573"/>
      <c r="R7" s="573"/>
      <c r="S7" s="573"/>
      <c r="T7" s="573"/>
      <c r="U7" s="574"/>
      <c r="V7" s="578" t="s">
        <v>249</v>
      </c>
      <c r="W7" s="573"/>
      <c r="X7" s="574"/>
      <c r="Y7" s="580" t="s">
        <v>69</v>
      </c>
      <c r="Z7" s="581"/>
      <c r="AA7" s="581"/>
      <c r="AB7" s="581"/>
      <c r="AC7" s="581"/>
      <c r="AD7" s="581"/>
      <c r="AE7" s="581"/>
      <c r="AF7" s="582"/>
      <c r="AG7" s="580" t="s">
        <v>70</v>
      </c>
      <c r="AH7" s="581"/>
      <c r="AI7" s="581"/>
      <c r="AJ7" s="581"/>
      <c r="AK7" s="581"/>
      <c r="AL7" s="581"/>
      <c r="AM7" s="581"/>
      <c r="AN7" s="582"/>
      <c r="AO7" s="578" t="s">
        <v>71</v>
      </c>
      <c r="AP7" s="573"/>
      <c r="AQ7" s="573"/>
      <c r="AR7" s="583"/>
    </row>
    <row r="8" spans="3:44" ht="18" customHeight="1">
      <c r="C8" s="575"/>
      <c r="D8" s="576"/>
      <c r="E8" s="577"/>
      <c r="F8" s="579"/>
      <c r="G8" s="576"/>
      <c r="H8" s="576"/>
      <c r="I8" s="576"/>
      <c r="J8" s="576"/>
      <c r="K8" s="576"/>
      <c r="L8" s="576"/>
      <c r="M8" s="576"/>
      <c r="N8" s="576"/>
      <c r="O8" s="576"/>
      <c r="P8" s="576"/>
      <c r="Q8" s="576"/>
      <c r="R8" s="576"/>
      <c r="S8" s="576"/>
      <c r="T8" s="576"/>
      <c r="U8" s="577"/>
      <c r="V8" s="579"/>
      <c r="W8" s="576"/>
      <c r="X8" s="577"/>
      <c r="Y8" s="585" t="s">
        <v>72</v>
      </c>
      <c r="Z8" s="586"/>
      <c r="AA8" s="586"/>
      <c r="AB8" s="587"/>
      <c r="AC8" s="585" t="s">
        <v>73</v>
      </c>
      <c r="AD8" s="586"/>
      <c r="AE8" s="586"/>
      <c r="AF8" s="587"/>
      <c r="AG8" s="585" t="s">
        <v>72</v>
      </c>
      <c r="AH8" s="586"/>
      <c r="AI8" s="586"/>
      <c r="AJ8" s="587"/>
      <c r="AK8" s="585" t="s">
        <v>73</v>
      </c>
      <c r="AL8" s="586"/>
      <c r="AM8" s="586"/>
      <c r="AN8" s="587"/>
      <c r="AO8" s="579"/>
      <c r="AP8" s="576"/>
      <c r="AQ8" s="576"/>
      <c r="AR8" s="584"/>
    </row>
    <row r="9" spans="3:44" ht="18" customHeight="1">
      <c r="C9" s="588"/>
      <c r="D9" s="589"/>
      <c r="E9" s="590"/>
      <c r="F9" s="591"/>
      <c r="G9" s="591"/>
      <c r="H9" s="591"/>
      <c r="I9" s="591"/>
      <c r="J9" s="591"/>
      <c r="K9" s="591"/>
      <c r="L9" s="591"/>
      <c r="M9" s="591"/>
      <c r="N9" s="591"/>
      <c r="O9" s="591"/>
      <c r="P9" s="591"/>
      <c r="Q9" s="591"/>
      <c r="R9" s="591"/>
      <c r="S9" s="591"/>
      <c r="T9" s="591"/>
      <c r="U9" s="591"/>
      <c r="V9" s="592"/>
      <c r="W9" s="593"/>
      <c r="X9" s="594"/>
      <c r="Y9" s="592"/>
      <c r="Z9" s="593"/>
      <c r="AA9" s="593"/>
      <c r="AB9" s="594"/>
      <c r="AC9" s="595"/>
      <c r="AD9" s="596"/>
      <c r="AE9" s="596"/>
      <c r="AF9" s="597"/>
      <c r="AG9" s="598"/>
      <c r="AH9" s="598"/>
      <c r="AI9" s="598"/>
      <c r="AJ9" s="598"/>
      <c r="AK9" s="598"/>
      <c r="AL9" s="598"/>
      <c r="AM9" s="598"/>
      <c r="AN9" s="598"/>
      <c r="AO9" s="598"/>
      <c r="AP9" s="598"/>
      <c r="AQ9" s="598"/>
      <c r="AR9" s="599"/>
    </row>
    <row r="10" spans="3:44" ht="18" customHeight="1">
      <c r="C10" s="600"/>
      <c r="D10" s="601"/>
      <c r="E10" s="602"/>
      <c r="F10" s="591"/>
      <c r="G10" s="591"/>
      <c r="H10" s="591"/>
      <c r="I10" s="591"/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603"/>
      <c r="W10" s="604"/>
      <c r="X10" s="605"/>
      <c r="Y10" s="603"/>
      <c r="Z10" s="604"/>
      <c r="AA10" s="604"/>
      <c r="AB10" s="605"/>
      <c r="AC10" s="606"/>
      <c r="AD10" s="607"/>
      <c r="AE10" s="607"/>
      <c r="AF10" s="608"/>
      <c r="AG10" s="598"/>
      <c r="AH10" s="598"/>
      <c r="AI10" s="598"/>
      <c r="AJ10" s="598"/>
      <c r="AK10" s="598"/>
      <c r="AL10" s="598"/>
      <c r="AM10" s="598"/>
      <c r="AN10" s="598"/>
      <c r="AO10" s="598"/>
      <c r="AP10" s="598"/>
      <c r="AQ10" s="598"/>
      <c r="AR10" s="599"/>
    </row>
    <row r="11" spans="3:44" ht="18" customHeight="1">
      <c r="C11" s="600"/>
      <c r="D11" s="601"/>
      <c r="E11" s="602"/>
      <c r="F11" s="591"/>
      <c r="G11" s="591"/>
      <c r="H11" s="591"/>
      <c r="I11" s="591"/>
      <c r="J11" s="591"/>
      <c r="K11" s="591"/>
      <c r="L11" s="591"/>
      <c r="M11" s="591"/>
      <c r="N11" s="591"/>
      <c r="O11" s="591"/>
      <c r="P11" s="591"/>
      <c r="Q11" s="591"/>
      <c r="R11" s="591"/>
      <c r="S11" s="591"/>
      <c r="T11" s="591"/>
      <c r="U11" s="591"/>
      <c r="V11" s="603"/>
      <c r="W11" s="604"/>
      <c r="X11" s="605"/>
      <c r="Y11" s="603"/>
      <c r="Z11" s="604"/>
      <c r="AA11" s="604"/>
      <c r="AB11" s="605"/>
      <c r="AC11" s="606"/>
      <c r="AD11" s="607"/>
      <c r="AE11" s="607"/>
      <c r="AF11" s="608"/>
      <c r="AG11" s="598"/>
      <c r="AH11" s="598"/>
      <c r="AI11" s="598"/>
      <c r="AJ11" s="598"/>
      <c r="AK11" s="598"/>
      <c r="AL11" s="598"/>
      <c r="AM11" s="598"/>
      <c r="AN11" s="598"/>
      <c r="AO11" s="598"/>
      <c r="AP11" s="598"/>
      <c r="AQ11" s="598"/>
      <c r="AR11" s="599"/>
    </row>
    <row r="12" spans="3:44" ht="18" customHeight="1">
      <c r="C12" s="600"/>
      <c r="D12" s="601"/>
      <c r="E12" s="602"/>
      <c r="F12" s="591"/>
      <c r="G12" s="591"/>
      <c r="H12" s="591"/>
      <c r="I12" s="591"/>
      <c r="J12" s="591"/>
      <c r="K12" s="591"/>
      <c r="L12" s="591"/>
      <c r="M12" s="591"/>
      <c r="N12" s="591"/>
      <c r="O12" s="591"/>
      <c r="P12" s="591"/>
      <c r="Q12" s="591"/>
      <c r="R12" s="591"/>
      <c r="S12" s="591"/>
      <c r="T12" s="591"/>
      <c r="U12" s="591"/>
      <c r="V12" s="603"/>
      <c r="W12" s="604"/>
      <c r="X12" s="605"/>
      <c r="Y12" s="603"/>
      <c r="Z12" s="604"/>
      <c r="AA12" s="604"/>
      <c r="AB12" s="605"/>
      <c r="AC12" s="606"/>
      <c r="AD12" s="607"/>
      <c r="AE12" s="607"/>
      <c r="AF12" s="608"/>
      <c r="AG12" s="598"/>
      <c r="AH12" s="598"/>
      <c r="AI12" s="598"/>
      <c r="AJ12" s="598"/>
      <c r="AK12" s="598"/>
      <c r="AL12" s="598"/>
      <c r="AM12" s="598"/>
      <c r="AN12" s="598"/>
      <c r="AO12" s="598"/>
      <c r="AP12" s="598"/>
      <c r="AQ12" s="598"/>
      <c r="AR12" s="599"/>
    </row>
    <row r="13" spans="3:44" ht="18" customHeight="1">
      <c r="C13" s="600"/>
      <c r="D13" s="601"/>
      <c r="E13" s="602"/>
      <c r="F13" s="591"/>
      <c r="G13" s="591"/>
      <c r="H13" s="591"/>
      <c r="I13" s="591"/>
      <c r="J13" s="591"/>
      <c r="K13" s="591"/>
      <c r="L13" s="591"/>
      <c r="M13" s="591"/>
      <c r="N13" s="591"/>
      <c r="O13" s="591"/>
      <c r="P13" s="591"/>
      <c r="Q13" s="591"/>
      <c r="R13" s="591"/>
      <c r="S13" s="591"/>
      <c r="T13" s="591"/>
      <c r="U13" s="591"/>
      <c r="V13" s="603"/>
      <c r="W13" s="604"/>
      <c r="X13" s="605"/>
      <c r="Y13" s="603"/>
      <c r="Z13" s="604"/>
      <c r="AA13" s="604"/>
      <c r="AB13" s="605"/>
      <c r="AC13" s="606"/>
      <c r="AD13" s="607"/>
      <c r="AE13" s="607"/>
      <c r="AF13" s="608"/>
      <c r="AG13" s="598"/>
      <c r="AH13" s="598"/>
      <c r="AI13" s="598"/>
      <c r="AJ13" s="598"/>
      <c r="AK13" s="598"/>
      <c r="AL13" s="598"/>
      <c r="AM13" s="598"/>
      <c r="AN13" s="598"/>
      <c r="AO13" s="598"/>
      <c r="AP13" s="598"/>
      <c r="AQ13" s="598"/>
      <c r="AR13" s="599"/>
    </row>
    <row r="14" spans="3:44" ht="18" customHeight="1">
      <c r="C14" s="600"/>
      <c r="D14" s="601"/>
      <c r="E14" s="602"/>
      <c r="F14" s="591"/>
      <c r="G14" s="591"/>
      <c r="H14" s="591"/>
      <c r="I14" s="591"/>
      <c r="J14" s="591"/>
      <c r="K14" s="591"/>
      <c r="L14" s="591"/>
      <c r="M14" s="591"/>
      <c r="N14" s="591"/>
      <c r="O14" s="591"/>
      <c r="P14" s="591"/>
      <c r="Q14" s="591"/>
      <c r="R14" s="591"/>
      <c r="S14" s="591"/>
      <c r="T14" s="591"/>
      <c r="U14" s="591"/>
      <c r="V14" s="603"/>
      <c r="W14" s="604"/>
      <c r="X14" s="605"/>
      <c r="Y14" s="603"/>
      <c r="Z14" s="604"/>
      <c r="AA14" s="604"/>
      <c r="AB14" s="605"/>
      <c r="AC14" s="606"/>
      <c r="AD14" s="607"/>
      <c r="AE14" s="607"/>
      <c r="AF14" s="608"/>
      <c r="AG14" s="598"/>
      <c r="AH14" s="598"/>
      <c r="AI14" s="598"/>
      <c r="AJ14" s="598"/>
      <c r="AK14" s="598"/>
      <c r="AL14" s="598"/>
      <c r="AM14" s="598"/>
      <c r="AN14" s="598"/>
      <c r="AO14" s="598"/>
      <c r="AP14" s="598"/>
      <c r="AQ14" s="598"/>
      <c r="AR14" s="599"/>
    </row>
    <row r="15" spans="3:44" ht="18" customHeight="1">
      <c r="C15" s="600"/>
      <c r="D15" s="601"/>
      <c r="E15" s="602"/>
      <c r="F15" s="609"/>
      <c r="G15" s="610"/>
      <c r="H15" s="610"/>
      <c r="I15" s="610"/>
      <c r="J15" s="610"/>
      <c r="K15" s="610"/>
      <c r="L15" s="610"/>
      <c r="M15" s="610"/>
      <c r="N15" s="610"/>
      <c r="O15" s="610"/>
      <c r="P15" s="610"/>
      <c r="Q15" s="610"/>
      <c r="R15" s="610"/>
      <c r="S15" s="610"/>
      <c r="T15" s="610"/>
      <c r="U15" s="611"/>
      <c r="V15" s="603"/>
      <c r="W15" s="604"/>
      <c r="X15" s="605"/>
      <c r="Y15" s="603"/>
      <c r="Z15" s="604"/>
      <c r="AA15" s="604"/>
      <c r="AB15" s="605"/>
      <c r="AC15" s="606"/>
      <c r="AD15" s="607"/>
      <c r="AE15" s="607"/>
      <c r="AF15" s="608"/>
      <c r="AG15" s="603"/>
      <c r="AH15" s="604"/>
      <c r="AI15" s="604"/>
      <c r="AJ15" s="605"/>
      <c r="AK15" s="603"/>
      <c r="AL15" s="604"/>
      <c r="AM15" s="604"/>
      <c r="AN15" s="605"/>
      <c r="AO15" s="603"/>
      <c r="AP15" s="604"/>
      <c r="AQ15" s="604"/>
      <c r="AR15" s="612"/>
    </row>
    <row r="16" spans="3:44" ht="18" customHeight="1">
      <c r="C16" s="600"/>
      <c r="D16" s="601"/>
      <c r="E16" s="602"/>
      <c r="F16" s="609"/>
      <c r="G16" s="610"/>
      <c r="H16" s="610"/>
      <c r="I16" s="610"/>
      <c r="J16" s="610"/>
      <c r="K16" s="610"/>
      <c r="L16" s="610"/>
      <c r="M16" s="610"/>
      <c r="N16" s="610"/>
      <c r="O16" s="610"/>
      <c r="P16" s="610"/>
      <c r="Q16" s="610"/>
      <c r="R16" s="610"/>
      <c r="S16" s="610"/>
      <c r="T16" s="610"/>
      <c r="U16" s="611"/>
      <c r="V16" s="603"/>
      <c r="W16" s="604"/>
      <c r="X16" s="605"/>
      <c r="Y16" s="603"/>
      <c r="Z16" s="604"/>
      <c r="AA16" s="604"/>
      <c r="AB16" s="605"/>
      <c r="AC16" s="606"/>
      <c r="AD16" s="607"/>
      <c r="AE16" s="607"/>
      <c r="AF16" s="608"/>
      <c r="AG16" s="603"/>
      <c r="AH16" s="604"/>
      <c r="AI16" s="604"/>
      <c r="AJ16" s="605"/>
      <c r="AK16" s="603"/>
      <c r="AL16" s="604"/>
      <c r="AM16" s="604"/>
      <c r="AN16" s="605"/>
      <c r="AO16" s="603"/>
      <c r="AP16" s="604"/>
      <c r="AQ16" s="604"/>
      <c r="AR16" s="612"/>
    </row>
    <row r="17" spans="3:44" ht="18" customHeight="1">
      <c r="C17" s="613"/>
      <c r="D17" s="614"/>
      <c r="E17" s="614"/>
      <c r="F17" s="614"/>
      <c r="G17" s="614"/>
      <c r="H17" s="614"/>
      <c r="I17" s="614"/>
      <c r="J17" s="614"/>
      <c r="K17" s="614"/>
      <c r="L17" s="614"/>
      <c r="M17" s="614"/>
      <c r="N17" s="614"/>
      <c r="O17" s="614"/>
      <c r="P17" s="614"/>
      <c r="Q17" s="614"/>
      <c r="R17" s="614"/>
      <c r="S17" s="614"/>
      <c r="T17" s="614"/>
      <c r="U17" s="614"/>
      <c r="V17" s="614"/>
      <c r="W17" s="614"/>
      <c r="X17" s="615"/>
      <c r="Y17" s="616" t="s">
        <v>74</v>
      </c>
      <c r="Z17" s="617"/>
      <c r="AA17" s="617"/>
      <c r="AB17" s="617"/>
      <c r="AC17" s="617"/>
      <c r="AD17" s="617"/>
      <c r="AE17" s="617"/>
      <c r="AF17" s="617"/>
      <c r="AG17" s="617"/>
      <c r="AH17" s="617"/>
      <c r="AI17" s="617"/>
      <c r="AJ17" s="617"/>
      <c r="AK17" s="617"/>
      <c r="AL17" s="617"/>
      <c r="AM17" s="617"/>
      <c r="AN17" s="618"/>
      <c r="AO17" s="619">
        <f>SUM(AO9:AR16)</f>
        <v>0</v>
      </c>
      <c r="AP17" s="620"/>
      <c r="AQ17" s="620"/>
      <c r="AR17" s="621"/>
    </row>
    <row r="19" spans="3:44" ht="18" customHeight="1">
      <c r="C19" s="572" t="s">
        <v>43</v>
      </c>
      <c r="D19" s="573"/>
      <c r="E19" s="574"/>
      <c r="F19" s="578" t="s">
        <v>75</v>
      </c>
      <c r="G19" s="573"/>
      <c r="H19" s="573"/>
      <c r="I19" s="573"/>
      <c r="J19" s="573"/>
      <c r="K19" s="573"/>
      <c r="L19" s="573"/>
      <c r="M19" s="573"/>
      <c r="N19" s="573"/>
      <c r="O19" s="573"/>
      <c r="P19" s="573"/>
      <c r="Q19" s="573"/>
      <c r="R19" s="573"/>
      <c r="S19" s="573"/>
      <c r="T19" s="573"/>
      <c r="U19" s="573"/>
      <c r="V19" s="573"/>
      <c r="W19" s="573"/>
      <c r="X19" s="573"/>
      <c r="Y19" s="573"/>
      <c r="Z19" s="573"/>
      <c r="AA19" s="573"/>
      <c r="AB19" s="574"/>
      <c r="AC19" s="578" t="s">
        <v>76</v>
      </c>
      <c r="AD19" s="573"/>
      <c r="AE19" s="573"/>
      <c r="AF19" s="574"/>
      <c r="AG19" s="578" t="s">
        <v>249</v>
      </c>
      <c r="AH19" s="573"/>
      <c r="AI19" s="573"/>
      <c r="AJ19" s="574"/>
      <c r="AK19" s="578" t="s">
        <v>77</v>
      </c>
      <c r="AL19" s="573"/>
      <c r="AM19" s="573"/>
      <c r="AN19" s="574"/>
      <c r="AO19" s="578" t="s">
        <v>71</v>
      </c>
      <c r="AP19" s="573"/>
      <c r="AQ19" s="573"/>
      <c r="AR19" s="583"/>
    </row>
    <row r="20" spans="3:44" ht="18" customHeight="1">
      <c r="C20" s="575"/>
      <c r="D20" s="576"/>
      <c r="E20" s="577"/>
      <c r="F20" s="579"/>
      <c r="G20" s="576"/>
      <c r="H20" s="576"/>
      <c r="I20" s="576"/>
      <c r="J20" s="576"/>
      <c r="K20" s="576"/>
      <c r="L20" s="576"/>
      <c r="M20" s="576"/>
      <c r="N20" s="576"/>
      <c r="O20" s="576"/>
      <c r="P20" s="576"/>
      <c r="Q20" s="576"/>
      <c r="R20" s="576"/>
      <c r="S20" s="576"/>
      <c r="T20" s="576"/>
      <c r="U20" s="576"/>
      <c r="V20" s="576"/>
      <c r="W20" s="576"/>
      <c r="X20" s="576"/>
      <c r="Y20" s="576"/>
      <c r="Z20" s="576"/>
      <c r="AA20" s="576"/>
      <c r="AB20" s="577"/>
      <c r="AC20" s="579"/>
      <c r="AD20" s="576"/>
      <c r="AE20" s="576"/>
      <c r="AF20" s="577"/>
      <c r="AG20" s="579"/>
      <c r="AH20" s="576"/>
      <c r="AI20" s="576"/>
      <c r="AJ20" s="577"/>
      <c r="AK20" s="579"/>
      <c r="AL20" s="576"/>
      <c r="AM20" s="576"/>
      <c r="AN20" s="577"/>
      <c r="AO20" s="579"/>
      <c r="AP20" s="576"/>
      <c r="AQ20" s="576"/>
      <c r="AR20" s="584"/>
    </row>
    <row r="21" spans="3:44" ht="18" customHeight="1">
      <c r="C21" s="588"/>
      <c r="D21" s="589"/>
      <c r="E21" s="590"/>
      <c r="F21" s="591"/>
      <c r="G21" s="591"/>
      <c r="H21" s="591"/>
      <c r="I21" s="591"/>
      <c r="J21" s="591"/>
      <c r="K21" s="591"/>
      <c r="L21" s="591"/>
      <c r="M21" s="591"/>
      <c r="N21" s="591"/>
      <c r="O21" s="591"/>
      <c r="P21" s="591"/>
      <c r="Q21" s="591"/>
      <c r="R21" s="591"/>
      <c r="S21" s="591"/>
      <c r="T21" s="591"/>
      <c r="U21" s="591"/>
      <c r="V21" s="591"/>
      <c r="W21" s="591"/>
      <c r="X21" s="591"/>
      <c r="Y21" s="591"/>
      <c r="Z21" s="591"/>
      <c r="AA21" s="591"/>
      <c r="AB21" s="591"/>
      <c r="AC21" s="622"/>
      <c r="AD21" s="623"/>
      <c r="AE21" s="623"/>
      <c r="AF21" s="624"/>
      <c r="AG21" s="622"/>
      <c r="AH21" s="623"/>
      <c r="AI21" s="623"/>
      <c r="AJ21" s="624"/>
      <c r="AK21" s="625"/>
      <c r="AL21" s="625"/>
      <c r="AM21" s="625"/>
      <c r="AN21" s="625"/>
      <c r="AO21" s="598"/>
      <c r="AP21" s="598"/>
      <c r="AQ21" s="598"/>
      <c r="AR21" s="599"/>
    </row>
    <row r="22" spans="3:44" ht="18" customHeight="1">
      <c r="C22" s="600"/>
      <c r="D22" s="601"/>
      <c r="E22" s="602"/>
      <c r="F22" s="591"/>
      <c r="G22" s="591"/>
      <c r="H22" s="591"/>
      <c r="I22" s="591"/>
      <c r="J22" s="591"/>
      <c r="K22" s="591"/>
      <c r="L22" s="591"/>
      <c r="M22" s="591"/>
      <c r="N22" s="591"/>
      <c r="O22" s="591"/>
      <c r="P22" s="591"/>
      <c r="Q22" s="591"/>
      <c r="R22" s="591"/>
      <c r="S22" s="591"/>
      <c r="T22" s="591"/>
      <c r="U22" s="591"/>
      <c r="V22" s="591"/>
      <c r="W22" s="591"/>
      <c r="X22" s="591"/>
      <c r="Y22" s="591"/>
      <c r="Z22" s="591"/>
      <c r="AA22" s="591"/>
      <c r="AB22" s="591"/>
      <c r="AC22" s="626"/>
      <c r="AD22" s="627"/>
      <c r="AE22" s="627"/>
      <c r="AF22" s="628"/>
      <c r="AG22" s="626"/>
      <c r="AH22" s="627"/>
      <c r="AI22" s="627"/>
      <c r="AJ22" s="628"/>
      <c r="AK22" s="625"/>
      <c r="AL22" s="625"/>
      <c r="AM22" s="625"/>
      <c r="AN22" s="625"/>
      <c r="AO22" s="598"/>
      <c r="AP22" s="598"/>
      <c r="AQ22" s="598"/>
      <c r="AR22" s="599"/>
    </row>
    <row r="23" spans="3:44" ht="18" customHeight="1">
      <c r="C23" s="600"/>
      <c r="D23" s="601"/>
      <c r="E23" s="602"/>
      <c r="F23" s="609"/>
      <c r="G23" s="610"/>
      <c r="H23" s="610"/>
      <c r="I23" s="610"/>
      <c r="J23" s="610"/>
      <c r="K23" s="610"/>
      <c r="L23" s="610"/>
      <c r="M23" s="610"/>
      <c r="N23" s="610"/>
      <c r="O23" s="610"/>
      <c r="P23" s="610"/>
      <c r="Q23" s="610"/>
      <c r="R23" s="610"/>
      <c r="S23" s="610"/>
      <c r="T23" s="610"/>
      <c r="U23" s="610"/>
      <c r="V23" s="610"/>
      <c r="W23" s="610"/>
      <c r="X23" s="610"/>
      <c r="Y23" s="610"/>
      <c r="Z23" s="610"/>
      <c r="AA23" s="610"/>
      <c r="AB23" s="611"/>
      <c r="AC23" s="626"/>
      <c r="AD23" s="627"/>
      <c r="AE23" s="627"/>
      <c r="AF23" s="628"/>
      <c r="AG23" s="626"/>
      <c r="AH23" s="627"/>
      <c r="AI23" s="627"/>
      <c r="AJ23" s="628"/>
      <c r="AK23" s="626"/>
      <c r="AL23" s="627"/>
      <c r="AM23" s="627"/>
      <c r="AN23" s="628"/>
      <c r="AO23" s="603"/>
      <c r="AP23" s="604"/>
      <c r="AQ23" s="604"/>
      <c r="AR23" s="612"/>
    </row>
    <row r="24" spans="3:44" ht="18" customHeight="1">
      <c r="C24" s="600"/>
      <c r="D24" s="601"/>
      <c r="E24" s="602"/>
      <c r="F24" s="609"/>
      <c r="G24" s="610"/>
      <c r="H24" s="610"/>
      <c r="I24" s="610"/>
      <c r="J24" s="610"/>
      <c r="K24" s="610"/>
      <c r="L24" s="610"/>
      <c r="M24" s="610"/>
      <c r="N24" s="610"/>
      <c r="O24" s="610"/>
      <c r="P24" s="610"/>
      <c r="Q24" s="610"/>
      <c r="R24" s="610"/>
      <c r="S24" s="610"/>
      <c r="T24" s="610"/>
      <c r="U24" s="610"/>
      <c r="V24" s="610"/>
      <c r="W24" s="610"/>
      <c r="X24" s="610"/>
      <c r="Y24" s="610"/>
      <c r="Z24" s="610"/>
      <c r="AA24" s="610"/>
      <c r="AB24" s="611"/>
      <c r="AC24" s="626"/>
      <c r="AD24" s="627"/>
      <c r="AE24" s="627"/>
      <c r="AF24" s="628"/>
      <c r="AG24" s="626"/>
      <c r="AH24" s="627"/>
      <c r="AI24" s="627"/>
      <c r="AJ24" s="628"/>
      <c r="AK24" s="626"/>
      <c r="AL24" s="627"/>
      <c r="AM24" s="627"/>
      <c r="AN24" s="628"/>
      <c r="AO24" s="603"/>
      <c r="AP24" s="604"/>
      <c r="AQ24" s="604"/>
      <c r="AR24" s="612"/>
    </row>
    <row r="25" spans="3:44" ht="18" customHeight="1">
      <c r="C25" s="600"/>
      <c r="D25" s="601"/>
      <c r="E25" s="602"/>
      <c r="F25" s="609"/>
      <c r="G25" s="610"/>
      <c r="H25" s="610"/>
      <c r="I25" s="610"/>
      <c r="J25" s="610"/>
      <c r="K25" s="610"/>
      <c r="L25" s="610"/>
      <c r="M25" s="610"/>
      <c r="N25" s="610"/>
      <c r="O25" s="610"/>
      <c r="P25" s="610"/>
      <c r="Q25" s="610"/>
      <c r="R25" s="610"/>
      <c r="S25" s="610"/>
      <c r="T25" s="610"/>
      <c r="U25" s="610"/>
      <c r="V25" s="610"/>
      <c r="W25" s="610"/>
      <c r="X25" s="610"/>
      <c r="Y25" s="610"/>
      <c r="Z25" s="610"/>
      <c r="AA25" s="610"/>
      <c r="AB25" s="611"/>
      <c r="AC25" s="626"/>
      <c r="AD25" s="627"/>
      <c r="AE25" s="627"/>
      <c r="AF25" s="628"/>
      <c r="AG25" s="626"/>
      <c r="AH25" s="627"/>
      <c r="AI25" s="627"/>
      <c r="AJ25" s="628"/>
      <c r="AK25" s="626"/>
      <c r="AL25" s="627"/>
      <c r="AM25" s="627"/>
      <c r="AN25" s="628"/>
      <c r="AO25" s="603"/>
      <c r="AP25" s="604"/>
      <c r="AQ25" s="604"/>
      <c r="AR25" s="612"/>
    </row>
    <row r="26" spans="3:44" ht="18" customHeight="1">
      <c r="C26" s="600"/>
      <c r="D26" s="601"/>
      <c r="E26" s="602"/>
      <c r="F26" s="609"/>
      <c r="G26" s="610"/>
      <c r="H26" s="610"/>
      <c r="I26" s="610"/>
      <c r="J26" s="610"/>
      <c r="K26" s="610"/>
      <c r="L26" s="610"/>
      <c r="M26" s="610"/>
      <c r="N26" s="610"/>
      <c r="O26" s="610"/>
      <c r="P26" s="610"/>
      <c r="Q26" s="610"/>
      <c r="R26" s="610"/>
      <c r="S26" s="610"/>
      <c r="T26" s="610"/>
      <c r="U26" s="610"/>
      <c r="V26" s="610"/>
      <c r="W26" s="610"/>
      <c r="X26" s="610"/>
      <c r="Y26" s="610"/>
      <c r="Z26" s="610"/>
      <c r="AA26" s="610"/>
      <c r="AB26" s="611"/>
      <c r="AC26" s="626"/>
      <c r="AD26" s="627"/>
      <c r="AE26" s="627"/>
      <c r="AF26" s="628"/>
      <c r="AG26" s="626"/>
      <c r="AH26" s="627"/>
      <c r="AI26" s="627"/>
      <c r="AJ26" s="628"/>
      <c r="AK26" s="626"/>
      <c r="AL26" s="627"/>
      <c r="AM26" s="627"/>
      <c r="AN26" s="628"/>
      <c r="AO26" s="603"/>
      <c r="AP26" s="604"/>
      <c r="AQ26" s="604"/>
      <c r="AR26" s="612"/>
    </row>
    <row r="27" spans="3:44" ht="18" customHeight="1">
      <c r="C27" s="600"/>
      <c r="D27" s="601"/>
      <c r="E27" s="602"/>
      <c r="F27" s="609"/>
      <c r="G27" s="610"/>
      <c r="H27" s="610"/>
      <c r="I27" s="610"/>
      <c r="J27" s="610"/>
      <c r="K27" s="610"/>
      <c r="L27" s="610"/>
      <c r="M27" s="610"/>
      <c r="N27" s="610"/>
      <c r="O27" s="610"/>
      <c r="P27" s="610"/>
      <c r="Q27" s="610"/>
      <c r="R27" s="610"/>
      <c r="S27" s="610"/>
      <c r="T27" s="610"/>
      <c r="U27" s="610"/>
      <c r="V27" s="610"/>
      <c r="W27" s="610"/>
      <c r="X27" s="610"/>
      <c r="Y27" s="610"/>
      <c r="Z27" s="610"/>
      <c r="AA27" s="610"/>
      <c r="AB27" s="611"/>
      <c r="AC27" s="626"/>
      <c r="AD27" s="627"/>
      <c r="AE27" s="627"/>
      <c r="AF27" s="628"/>
      <c r="AG27" s="626"/>
      <c r="AH27" s="627"/>
      <c r="AI27" s="627"/>
      <c r="AJ27" s="628"/>
      <c r="AK27" s="626"/>
      <c r="AL27" s="627"/>
      <c r="AM27" s="627"/>
      <c r="AN27" s="628"/>
      <c r="AO27" s="603"/>
      <c r="AP27" s="604"/>
      <c r="AQ27" s="604"/>
      <c r="AR27" s="612"/>
    </row>
    <row r="28" spans="3:44" ht="18" customHeight="1">
      <c r="C28" s="600"/>
      <c r="D28" s="601"/>
      <c r="E28" s="602"/>
      <c r="F28" s="609"/>
      <c r="G28" s="610"/>
      <c r="H28" s="610"/>
      <c r="I28" s="610"/>
      <c r="J28" s="610"/>
      <c r="K28" s="610"/>
      <c r="L28" s="610"/>
      <c r="M28" s="610"/>
      <c r="N28" s="610"/>
      <c r="O28" s="610"/>
      <c r="P28" s="610"/>
      <c r="Q28" s="610"/>
      <c r="R28" s="610"/>
      <c r="S28" s="610"/>
      <c r="T28" s="610"/>
      <c r="U28" s="610"/>
      <c r="V28" s="610"/>
      <c r="W28" s="610"/>
      <c r="X28" s="610"/>
      <c r="Y28" s="610"/>
      <c r="Z28" s="610"/>
      <c r="AA28" s="610"/>
      <c r="AB28" s="611"/>
      <c r="AC28" s="626"/>
      <c r="AD28" s="627"/>
      <c r="AE28" s="627"/>
      <c r="AF28" s="628"/>
      <c r="AG28" s="626"/>
      <c r="AH28" s="627"/>
      <c r="AI28" s="627"/>
      <c r="AJ28" s="628"/>
      <c r="AK28" s="626"/>
      <c r="AL28" s="627"/>
      <c r="AM28" s="627"/>
      <c r="AN28" s="628"/>
      <c r="AO28" s="603"/>
      <c r="AP28" s="604"/>
      <c r="AQ28" s="604"/>
      <c r="AR28" s="612"/>
    </row>
    <row r="29" spans="3:44" ht="18" customHeight="1">
      <c r="C29" s="629"/>
      <c r="D29" s="630"/>
      <c r="E29" s="630"/>
      <c r="F29" s="630"/>
      <c r="G29" s="630"/>
      <c r="H29" s="630"/>
      <c r="I29" s="630"/>
      <c r="J29" s="630"/>
      <c r="K29" s="630"/>
      <c r="L29" s="630"/>
      <c r="M29" s="630"/>
      <c r="N29" s="630"/>
      <c r="O29" s="630"/>
      <c r="P29" s="630"/>
      <c r="Q29" s="630"/>
      <c r="R29" s="630"/>
      <c r="S29" s="630"/>
      <c r="T29" s="630"/>
      <c r="U29" s="630"/>
      <c r="V29" s="630"/>
      <c r="W29" s="630"/>
      <c r="X29" s="630"/>
      <c r="Y29" s="631" t="s">
        <v>78</v>
      </c>
      <c r="Z29" s="631"/>
      <c r="AA29" s="631"/>
      <c r="AB29" s="631"/>
      <c r="AC29" s="631"/>
      <c r="AD29" s="631"/>
      <c r="AE29" s="631"/>
      <c r="AF29" s="632"/>
      <c r="AG29" s="633" t="s">
        <v>363</v>
      </c>
      <c r="AH29" s="634"/>
      <c r="AI29" s="634"/>
      <c r="AJ29" s="635"/>
      <c r="AK29" s="603">
        <f>SUM(AO21:AR28)</f>
        <v>0</v>
      </c>
      <c r="AL29" s="604"/>
      <c r="AM29" s="604"/>
      <c r="AN29" s="605"/>
      <c r="AO29" s="636">
        <f>ROUND(AG29*AK29,2)</f>
        <v>0</v>
      </c>
      <c r="AP29" s="637"/>
      <c r="AQ29" s="637"/>
      <c r="AR29" s="638"/>
    </row>
    <row r="30" spans="3:44" ht="18" customHeight="1">
      <c r="C30" s="613"/>
      <c r="D30" s="614"/>
      <c r="E30" s="614"/>
      <c r="F30" s="614"/>
      <c r="G30" s="614"/>
      <c r="H30" s="614"/>
      <c r="I30" s="614"/>
      <c r="J30" s="614"/>
      <c r="K30" s="614"/>
      <c r="L30" s="614"/>
      <c r="M30" s="614"/>
      <c r="N30" s="614"/>
      <c r="O30" s="614"/>
      <c r="P30" s="614"/>
      <c r="Q30" s="614"/>
      <c r="R30" s="614"/>
      <c r="S30" s="614"/>
      <c r="T30" s="614"/>
      <c r="U30" s="614"/>
      <c r="V30" s="614"/>
      <c r="W30" s="614"/>
      <c r="X30" s="614"/>
      <c r="Y30" s="639" t="s">
        <v>79</v>
      </c>
      <c r="Z30" s="639"/>
      <c r="AA30" s="639"/>
      <c r="AB30" s="639"/>
      <c r="AC30" s="639"/>
      <c r="AD30" s="639"/>
      <c r="AE30" s="639"/>
      <c r="AF30" s="639"/>
      <c r="AG30" s="639"/>
      <c r="AH30" s="639"/>
      <c r="AI30" s="639"/>
      <c r="AJ30" s="639"/>
      <c r="AK30" s="639"/>
      <c r="AL30" s="639"/>
      <c r="AM30" s="639"/>
      <c r="AN30" s="640"/>
      <c r="AO30" s="619">
        <f>SUM(AO21:AR29)</f>
        <v>0</v>
      </c>
      <c r="AP30" s="620"/>
      <c r="AQ30" s="620"/>
      <c r="AR30" s="621"/>
    </row>
    <row r="32" spans="3:44" ht="18" customHeight="1">
      <c r="C32" s="641"/>
      <c r="D32" s="642"/>
      <c r="E32" s="642"/>
      <c r="F32" s="642"/>
      <c r="G32" s="642"/>
      <c r="H32" s="642"/>
      <c r="I32" s="642"/>
      <c r="J32" s="642"/>
      <c r="K32" s="642"/>
      <c r="L32" s="642"/>
      <c r="M32" s="642"/>
      <c r="N32" s="642"/>
      <c r="O32" s="642"/>
      <c r="P32" s="642"/>
      <c r="Q32" s="642"/>
      <c r="R32" s="642"/>
      <c r="S32" s="642"/>
      <c r="T32" s="642"/>
      <c r="U32" s="642"/>
      <c r="V32" s="642"/>
      <c r="W32" s="642"/>
      <c r="X32" s="642"/>
      <c r="Y32" s="643" t="s">
        <v>80</v>
      </c>
      <c r="Z32" s="644"/>
      <c r="AA32" s="644"/>
      <c r="AB32" s="644"/>
      <c r="AC32" s="644"/>
      <c r="AD32" s="644"/>
      <c r="AE32" s="644"/>
      <c r="AF32" s="644"/>
      <c r="AG32" s="644"/>
      <c r="AH32" s="644"/>
      <c r="AI32" s="644"/>
      <c r="AJ32" s="644"/>
      <c r="AK32" s="644"/>
      <c r="AL32" s="644"/>
      <c r="AM32" s="644"/>
      <c r="AN32" s="645"/>
      <c r="AO32" s="646">
        <f>AO17+AO30</f>
        <v>0</v>
      </c>
      <c r="AP32" s="647"/>
      <c r="AQ32" s="647"/>
      <c r="AR32" s="648"/>
    </row>
    <row r="33" spans="3:44" ht="18" customHeight="1">
      <c r="C33" s="649" t="s">
        <v>81</v>
      </c>
      <c r="D33" s="639"/>
      <c r="E33" s="639"/>
      <c r="F33" s="639"/>
      <c r="G33" s="639"/>
      <c r="H33" s="639"/>
      <c r="I33" s="639"/>
      <c r="J33" s="639"/>
      <c r="K33" s="639"/>
      <c r="L33" s="639"/>
      <c r="M33" s="639"/>
      <c r="N33" s="639"/>
      <c r="O33" s="639"/>
      <c r="P33" s="640"/>
      <c r="Q33" s="619">
        <v>1</v>
      </c>
      <c r="R33" s="620"/>
      <c r="S33" s="620"/>
      <c r="T33" s="620"/>
      <c r="U33" s="620"/>
      <c r="V33" s="639" t="s">
        <v>245</v>
      </c>
      <c r="W33" s="639"/>
      <c r="X33" s="640"/>
      <c r="Y33" s="643" t="s">
        <v>82</v>
      </c>
      <c r="Z33" s="644"/>
      <c r="AA33" s="644"/>
      <c r="AB33" s="644"/>
      <c r="AC33" s="644"/>
      <c r="AD33" s="644"/>
      <c r="AE33" s="644"/>
      <c r="AF33" s="644"/>
      <c r="AG33" s="644"/>
      <c r="AH33" s="644"/>
      <c r="AI33" s="644"/>
      <c r="AJ33" s="644"/>
      <c r="AK33" s="644"/>
      <c r="AL33" s="644"/>
      <c r="AM33" s="644"/>
      <c r="AN33" s="645"/>
      <c r="AO33" s="650">
        <f>ROUND(AO32/Q33,2)</f>
        <v>0</v>
      </c>
      <c r="AP33" s="651"/>
      <c r="AQ33" s="651"/>
      <c r="AR33" s="652"/>
    </row>
    <row r="35" spans="3:44" ht="18" customHeight="1">
      <c r="C35" s="572" t="s">
        <v>43</v>
      </c>
      <c r="D35" s="573"/>
      <c r="E35" s="574"/>
      <c r="F35" s="578" t="s">
        <v>83</v>
      </c>
      <c r="G35" s="573"/>
      <c r="H35" s="573"/>
      <c r="I35" s="573"/>
      <c r="J35" s="573"/>
      <c r="K35" s="573"/>
      <c r="L35" s="573"/>
      <c r="M35" s="573"/>
      <c r="N35" s="573"/>
      <c r="O35" s="573"/>
      <c r="P35" s="573"/>
      <c r="Q35" s="573"/>
      <c r="R35" s="573"/>
      <c r="S35" s="573"/>
      <c r="T35" s="573"/>
      <c r="U35" s="573"/>
      <c r="V35" s="573"/>
      <c r="W35" s="573"/>
      <c r="X35" s="573"/>
      <c r="Y35" s="573"/>
      <c r="Z35" s="573"/>
      <c r="AA35" s="573"/>
      <c r="AB35" s="574"/>
      <c r="AC35" s="578" t="s">
        <v>84</v>
      </c>
      <c r="AD35" s="573"/>
      <c r="AE35" s="573"/>
      <c r="AF35" s="574"/>
      <c r="AG35" s="578" t="s">
        <v>85</v>
      </c>
      <c r="AH35" s="573"/>
      <c r="AI35" s="573"/>
      <c r="AJ35" s="574"/>
      <c r="AK35" s="578" t="s">
        <v>86</v>
      </c>
      <c r="AL35" s="573"/>
      <c r="AM35" s="573"/>
      <c r="AN35" s="574"/>
      <c r="AO35" s="578" t="s">
        <v>87</v>
      </c>
      <c r="AP35" s="573"/>
      <c r="AQ35" s="573"/>
      <c r="AR35" s="583"/>
    </row>
    <row r="36" spans="3:44" ht="18" customHeight="1">
      <c r="C36" s="575"/>
      <c r="D36" s="576"/>
      <c r="E36" s="577"/>
      <c r="F36" s="579"/>
      <c r="G36" s="576"/>
      <c r="H36" s="576"/>
      <c r="I36" s="576"/>
      <c r="J36" s="576"/>
      <c r="K36" s="576"/>
      <c r="L36" s="576"/>
      <c r="M36" s="576"/>
      <c r="N36" s="576"/>
      <c r="O36" s="576"/>
      <c r="P36" s="576"/>
      <c r="Q36" s="576"/>
      <c r="R36" s="576"/>
      <c r="S36" s="576"/>
      <c r="T36" s="576"/>
      <c r="U36" s="576"/>
      <c r="V36" s="576"/>
      <c r="W36" s="576"/>
      <c r="X36" s="576"/>
      <c r="Y36" s="576"/>
      <c r="Z36" s="576"/>
      <c r="AA36" s="576"/>
      <c r="AB36" s="577"/>
      <c r="AC36" s="579"/>
      <c r="AD36" s="576"/>
      <c r="AE36" s="576"/>
      <c r="AF36" s="577"/>
      <c r="AG36" s="579"/>
      <c r="AH36" s="576"/>
      <c r="AI36" s="576"/>
      <c r="AJ36" s="577"/>
      <c r="AK36" s="579"/>
      <c r="AL36" s="576"/>
      <c r="AM36" s="576"/>
      <c r="AN36" s="577"/>
      <c r="AO36" s="579"/>
      <c r="AP36" s="576"/>
      <c r="AQ36" s="576"/>
      <c r="AR36" s="584"/>
    </row>
    <row r="37" spans="3:44" ht="18" customHeight="1">
      <c r="C37" s="588" t="s">
        <v>239</v>
      </c>
      <c r="D37" s="589"/>
      <c r="E37" s="590"/>
      <c r="F37" s="591" t="s">
        <v>981</v>
      </c>
      <c r="G37" s="591"/>
      <c r="H37" s="591"/>
      <c r="I37" s="591"/>
      <c r="J37" s="591"/>
      <c r="K37" s="591"/>
      <c r="L37" s="591"/>
      <c r="M37" s="591"/>
      <c r="N37" s="591"/>
      <c r="O37" s="591"/>
      <c r="P37" s="591"/>
      <c r="Q37" s="591"/>
      <c r="R37" s="591"/>
      <c r="S37" s="591"/>
      <c r="T37" s="591"/>
      <c r="U37" s="591"/>
      <c r="V37" s="591"/>
      <c r="W37" s="591"/>
      <c r="X37" s="591"/>
      <c r="Y37" s="591"/>
      <c r="Z37" s="591"/>
      <c r="AA37" s="591"/>
      <c r="AB37" s="591"/>
      <c r="AC37" s="653" t="s">
        <v>245</v>
      </c>
      <c r="AD37" s="642"/>
      <c r="AE37" s="642"/>
      <c r="AF37" s="654"/>
      <c r="AG37" s="598">
        <v>15</v>
      </c>
      <c r="AH37" s="598"/>
      <c r="AI37" s="598"/>
      <c r="AJ37" s="598"/>
      <c r="AK37" s="539">
        <v>1</v>
      </c>
      <c r="AL37" s="540"/>
      <c r="AM37" s="540"/>
      <c r="AN37" s="541"/>
      <c r="AO37" s="625">
        <f>ROUND(AG37*AK37,2)</f>
        <v>15</v>
      </c>
      <c r="AP37" s="625"/>
      <c r="AQ37" s="625"/>
      <c r="AR37" s="655"/>
    </row>
    <row r="38" spans="3:44" ht="18" customHeight="1">
      <c r="C38" s="600"/>
      <c r="D38" s="601"/>
      <c r="E38" s="602"/>
      <c r="F38" s="609"/>
      <c r="G38" s="610"/>
      <c r="H38" s="610"/>
      <c r="I38" s="610"/>
      <c r="J38" s="610"/>
      <c r="K38" s="610"/>
      <c r="L38" s="610"/>
      <c r="M38" s="610"/>
      <c r="N38" s="610"/>
      <c r="O38" s="610"/>
      <c r="P38" s="610"/>
      <c r="Q38" s="610"/>
      <c r="R38" s="610"/>
      <c r="S38" s="610"/>
      <c r="T38" s="610"/>
      <c r="U38" s="610"/>
      <c r="V38" s="610"/>
      <c r="W38" s="610"/>
      <c r="X38" s="610"/>
      <c r="Y38" s="610"/>
      <c r="Z38" s="610"/>
      <c r="AA38" s="610"/>
      <c r="AB38" s="611"/>
      <c r="AC38" s="656"/>
      <c r="AD38" s="657"/>
      <c r="AE38" s="657"/>
      <c r="AF38" s="658"/>
      <c r="AG38" s="603"/>
      <c r="AH38" s="604"/>
      <c r="AI38" s="604"/>
      <c r="AJ38" s="605"/>
      <c r="AK38" s="542"/>
      <c r="AL38" s="543"/>
      <c r="AM38" s="543"/>
      <c r="AN38" s="544"/>
      <c r="AO38" s="625"/>
      <c r="AP38" s="625"/>
      <c r="AQ38" s="625"/>
      <c r="AR38" s="655"/>
    </row>
    <row r="39" spans="3:44" ht="18" customHeight="1">
      <c r="C39" s="600"/>
      <c r="D39" s="601"/>
      <c r="E39" s="602"/>
      <c r="F39" s="609"/>
      <c r="G39" s="610"/>
      <c r="H39" s="610"/>
      <c r="I39" s="610"/>
      <c r="J39" s="610"/>
      <c r="K39" s="610"/>
      <c r="L39" s="610"/>
      <c r="M39" s="610"/>
      <c r="N39" s="610"/>
      <c r="O39" s="610"/>
      <c r="P39" s="610"/>
      <c r="Q39" s="610"/>
      <c r="R39" s="610"/>
      <c r="S39" s="610"/>
      <c r="T39" s="610"/>
      <c r="U39" s="610"/>
      <c r="V39" s="610"/>
      <c r="W39" s="610"/>
      <c r="X39" s="610"/>
      <c r="Y39" s="610"/>
      <c r="Z39" s="610"/>
      <c r="AA39" s="610"/>
      <c r="AB39" s="611"/>
      <c r="AC39" s="656"/>
      <c r="AD39" s="657"/>
      <c r="AE39" s="657"/>
      <c r="AF39" s="658"/>
      <c r="AG39" s="603"/>
      <c r="AH39" s="604"/>
      <c r="AI39" s="604"/>
      <c r="AJ39" s="605"/>
      <c r="AK39" s="542"/>
      <c r="AL39" s="543"/>
      <c r="AM39" s="543"/>
      <c r="AN39" s="544"/>
      <c r="AO39" s="626"/>
      <c r="AP39" s="627"/>
      <c r="AQ39" s="627"/>
      <c r="AR39" s="659"/>
    </row>
    <row r="40" spans="3:44" ht="18" customHeight="1">
      <c r="C40" s="600"/>
      <c r="D40" s="601"/>
      <c r="E40" s="602"/>
      <c r="F40" s="609">
        <v>0</v>
      </c>
      <c r="G40" s="610"/>
      <c r="H40" s="610"/>
      <c r="I40" s="610"/>
      <c r="J40" s="610"/>
      <c r="K40" s="610"/>
      <c r="L40" s="610"/>
      <c r="M40" s="610"/>
      <c r="N40" s="610"/>
      <c r="O40" s="610"/>
      <c r="P40" s="610"/>
      <c r="Q40" s="610"/>
      <c r="R40" s="610"/>
      <c r="S40" s="610"/>
      <c r="T40" s="610"/>
      <c r="U40" s="610"/>
      <c r="V40" s="610"/>
      <c r="W40" s="610"/>
      <c r="X40" s="610"/>
      <c r="Y40" s="610"/>
      <c r="Z40" s="610"/>
      <c r="AA40" s="610"/>
      <c r="AB40" s="611"/>
      <c r="AC40" s="656">
        <v>0</v>
      </c>
      <c r="AD40" s="657"/>
      <c r="AE40" s="657"/>
      <c r="AF40" s="658"/>
      <c r="AG40" s="603">
        <v>0</v>
      </c>
      <c r="AH40" s="604"/>
      <c r="AI40" s="604"/>
      <c r="AJ40" s="605"/>
      <c r="AK40" s="542"/>
      <c r="AL40" s="543"/>
      <c r="AM40" s="543"/>
      <c r="AN40" s="544"/>
      <c r="AO40" s="626">
        <f>ROUND(AG40*AK40,2)</f>
        <v>0</v>
      </c>
      <c r="AP40" s="627"/>
      <c r="AQ40" s="627"/>
      <c r="AR40" s="659"/>
    </row>
    <row r="41" spans="3:44" ht="18" customHeight="1">
      <c r="C41" s="600"/>
      <c r="D41" s="601"/>
      <c r="E41" s="602"/>
      <c r="F41" s="609">
        <v>0</v>
      </c>
      <c r="G41" s="610"/>
      <c r="H41" s="610"/>
      <c r="I41" s="610"/>
      <c r="J41" s="610"/>
      <c r="K41" s="610"/>
      <c r="L41" s="610"/>
      <c r="M41" s="610"/>
      <c r="N41" s="610"/>
      <c r="O41" s="610"/>
      <c r="P41" s="610"/>
      <c r="Q41" s="610"/>
      <c r="R41" s="610"/>
      <c r="S41" s="610"/>
      <c r="T41" s="610"/>
      <c r="U41" s="610"/>
      <c r="V41" s="610"/>
      <c r="W41" s="610"/>
      <c r="X41" s="610"/>
      <c r="Y41" s="610"/>
      <c r="Z41" s="610"/>
      <c r="AA41" s="610"/>
      <c r="AB41" s="611"/>
      <c r="AC41" s="656">
        <v>0</v>
      </c>
      <c r="AD41" s="657"/>
      <c r="AE41" s="657"/>
      <c r="AF41" s="658"/>
      <c r="AG41" s="603">
        <v>0</v>
      </c>
      <c r="AH41" s="604"/>
      <c r="AI41" s="604"/>
      <c r="AJ41" s="605"/>
      <c r="AK41" s="542"/>
      <c r="AL41" s="543"/>
      <c r="AM41" s="543"/>
      <c r="AN41" s="544"/>
      <c r="AO41" s="626">
        <f>ROUND(AG41*AK41,2)</f>
        <v>0</v>
      </c>
      <c r="AP41" s="627"/>
      <c r="AQ41" s="627"/>
      <c r="AR41" s="659"/>
    </row>
    <row r="42" spans="3:44" ht="18" customHeight="1">
      <c r="C42" s="600"/>
      <c r="D42" s="601"/>
      <c r="E42" s="602"/>
      <c r="F42" s="609"/>
      <c r="G42" s="610"/>
      <c r="H42" s="610"/>
      <c r="I42" s="610"/>
      <c r="J42" s="610"/>
      <c r="K42" s="610"/>
      <c r="L42" s="610"/>
      <c r="M42" s="610"/>
      <c r="N42" s="610"/>
      <c r="O42" s="610"/>
      <c r="P42" s="610"/>
      <c r="Q42" s="610"/>
      <c r="R42" s="610"/>
      <c r="S42" s="610"/>
      <c r="T42" s="610"/>
      <c r="U42" s="610"/>
      <c r="V42" s="610"/>
      <c r="W42" s="610"/>
      <c r="X42" s="610"/>
      <c r="Y42" s="610"/>
      <c r="Z42" s="610"/>
      <c r="AA42" s="610"/>
      <c r="AB42" s="611"/>
      <c r="AC42" s="656"/>
      <c r="AD42" s="657"/>
      <c r="AE42" s="657"/>
      <c r="AF42" s="658"/>
      <c r="AG42" s="603"/>
      <c r="AH42" s="604"/>
      <c r="AI42" s="604"/>
      <c r="AJ42" s="605"/>
      <c r="AK42" s="542"/>
      <c r="AL42" s="543"/>
      <c r="AM42" s="543"/>
      <c r="AN42" s="544"/>
      <c r="AO42" s="626"/>
      <c r="AP42" s="627"/>
      <c r="AQ42" s="627"/>
      <c r="AR42" s="659"/>
    </row>
    <row r="43" spans="3:44" ht="18" customHeight="1">
      <c r="C43" s="600"/>
      <c r="D43" s="601"/>
      <c r="E43" s="602"/>
      <c r="F43" s="609"/>
      <c r="G43" s="610"/>
      <c r="H43" s="610"/>
      <c r="I43" s="610"/>
      <c r="J43" s="610"/>
      <c r="K43" s="610"/>
      <c r="L43" s="610"/>
      <c r="M43" s="610"/>
      <c r="N43" s="610"/>
      <c r="O43" s="610"/>
      <c r="P43" s="610"/>
      <c r="Q43" s="610"/>
      <c r="R43" s="610"/>
      <c r="S43" s="610"/>
      <c r="T43" s="610"/>
      <c r="U43" s="610"/>
      <c r="V43" s="610"/>
      <c r="W43" s="610"/>
      <c r="X43" s="610"/>
      <c r="Y43" s="610"/>
      <c r="Z43" s="610"/>
      <c r="AA43" s="610"/>
      <c r="AB43" s="611"/>
      <c r="AC43" s="656"/>
      <c r="AD43" s="657"/>
      <c r="AE43" s="657"/>
      <c r="AF43" s="658"/>
      <c r="AG43" s="603"/>
      <c r="AH43" s="604"/>
      <c r="AI43" s="604"/>
      <c r="AJ43" s="605"/>
      <c r="AK43" s="542"/>
      <c r="AL43" s="543"/>
      <c r="AM43" s="543"/>
      <c r="AN43" s="544"/>
      <c r="AO43" s="626"/>
      <c r="AP43" s="627"/>
      <c r="AQ43" s="627"/>
      <c r="AR43" s="659"/>
    </row>
    <row r="44" spans="3:44" ht="18" customHeight="1">
      <c r="C44" s="600"/>
      <c r="D44" s="601"/>
      <c r="E44" s="602"/>
      <c r="F44" s="609"/>
      <c r="G44" s="610"/>
      <c r="H44" s="610"/>
      <c r="I44" s="610"/>
      <c r="J44" s="610"/>
      <c r="K44" s="610"/>
      <c r="L44" s="610"/>
      <c r="M44" s="610"/>
      <c r="N44" s="610"/>
      <c r="O44" s="610"/>
      <c r="P44" s="610"/>
      <c r="Q44" s="610"/>
      <c r="R44" s="610"/>
      <c r="S44" s="610"/>
      <c r="T44" s="610"/>
      <c r="U44" s="610"/>
      <c r="V44" s="610"/>
      <c r="W44" s="610"/>
      <c r="X44" s="610"/>
      <c r="Y44" s="610"/>
      <c r="Z44" s="610"/>
      <c r="AA44" s="610"/>
      <c r="AB44" s="611"/>
      <c r="AC44" s="656"/>
      <c r="AD44" s="657"/>
      <c r="AE44" s="657"/>
      <c r="AF44" s="658"/>
      <c r="AG44" s="603"/>
      <c r="AH44" s="604"/>
      <c r="AI44" s="604"/>
      <c r="AJ44" s="605"/>
      <c r="AK44" s="542"/>
      <c r="AL44" s="543"/>
      <c r="AM44" s="543"/>
      <c r="AN44" s="544"/>
      <c r="AO44" s="626"/>
      <c r="AP44" s="627"/>
      <c r="AQ44" s="627"/>
      <c r="AR44" s="659"/>
    </row>
    <row r="45" spans="3:44" ht="18" customHeight="1">
      <c r="C45" s="613"/>
      <c r="D45" s="614"/>
      <c r="E45" s="614"/>
      <c r="F45" s="614"/>
      <c r="G45" s="614"/>
      <c r="H45" s="614"/>
      <c r="I45" s="614"/>
      <c r="J45" s="614"/>
      <c r="K45" s="614"/>
      <c r="L45" s="614"/>
      <c r="M45" s="614"/>
      <c r="N45" s="614"/>
      <c r="O45" s="614"/>
      <c r="P45" s="614"/>
      <c r="Q45" s="614"/>
      <c r="R45" s="614"/>
      <c r="S45" s="614"/>
      <c r="T45" s="614"/>
      <c r="U45" s="614"/>
      <c r="V45" s="614"/>
      <c r="W45" s="614"/>
      <c r="X45" s="614"/>
      <c r="Y45" s="639" t="s">
        <v>88</v>
      </c>
      <c r="Z45" s="639"/>
      <c r="AA45" s="639"/>
      <c r="AB45" s="639"/>
      <c r="AC45" s="639"/>
      <c r="AD45" s="639"/>
      <c r="AE45" s="639"/>
      <c r="AF45" s="639"/>
      <c r="AG45" s="639"/>
      <c r="AH45" s="639"/>
      <c r="AI45" s="639"/>
      <c r="AJ45" s="639"/>
      <c r="AK45" s="639"/>
      <c r="AL45" s="639"/>
      <c r="AM45" s="639"/>
      <c r="AN45" s="640"/>
      <c r="AO45" s="619">
        <f>SUM(AO37:AR44)</f>
        <v>15</v>
      </c>
      <c r="AP45" s="620"/>
      <c r="AQ45" s="620"/>
      <c r="AR45" s="621"/>
    </row>
    <row r="47" spans="3:44" ht="18" customHeight="1">
      <c r="C47" s="572" t="s">
        <v>43</v>
      </c>
      <c r="D47" s="573"/>
      <c r="E47" s="574"/>
      <c r="F47" s="578" t="s">
        <v>89</v>
      </c>
      <c r="G47" s="573"/>
      <c r="H47" s="573"/>
      <c r="I47" s="573"/>
      <c r="J47" s="573"/>
      <c r="K47" s="573"/>
      <c r="L47" s="573"/>
      <c r="M47" s="573"/>
      <c r="N47" s="573"/>
      <c r="O47" s="573"/>
      <c r="P47" s="573"/>
      <c r="Q47" s="573"/>
      <c r="R47" s="574"/>
      <c r="S47" s="578" t="s">
        <v>90</v>
      </c>
      <c r="T47" s="573"/>
      <c r="U47" s="574"/>
      <c r="V47" s="578" t="s">
        <v>91</v>
      </c>
      <c r="W47" s="573"/>
      <c r="X47" s="574"/>
      <c r="Y47" s="578" t="s">
        <v>92</v>
      </c>
      <c r="Z47" s="573"/>
      <c r="AA47" s="573"/>
      <c r="AB47" s="573"/>
      <c r="AC47" s="573"/>
      <c r="AD47" s="574"/>
      <c r="AE47" s="578" t="s">
        <v>93</v>
      </c>
      <c r="AF47" s="573"/>
      <c r="AG47" s="574"/>
      <c r="AH47" s="578" t="s">
        <v>94</v>
      </c>
      <c r="AI47" s="573"/>
      <c r="AJ47" s="574"/>
      <c r="AK47" s="578" t="s">
        <v>86</v>
      </c>
      <c r="AL47" s="573"/>
      <c r="AM47" s="573"/>
      <c r="AN47" s="574"/>
      <c r="AO47" s="578" t="s">
        <v>87</v>
      </c>
      <c r="AP47" s="573"/>
      <c r="AQ47" s="573"/>
      <c r="AR47" s="583"/>
    </row>
    <row r="48" spans="3:44" ht="18" customHeight="1">
      <c r="C48" s="575"/>
      <c r="D48" s="576"/>
      <c r="E48" s="577"/>
      <c r="F48" s="579"/>
      <c r="G48" s="576"/>
      <c r="H48" s="576"/>
      <c r="I48" s="576"/>
      <c r="J48" s="576"/>
      <c r="K48" s="576"/>
      <c r="L48" s="576"/>
      <c r="M48" s="576"/>
      <c r="N48" s="576"/>
      <c r="O48" s="576"/>
      <c r="P48" s="576"/>
      <c r="Q48" s="576"/>
      <c r="R48" s="577"/>
      <c r="S48" s="579"/>
      <c r="T48" s="576"/>
      <c r="U48" s="577"/>
      <c r="V48" s="579"/>
      <c r="W48" s="576"/>
      <c r="X48" s="577"/>
      <c r="Y48" s="579"/>
      <c r="Z48" s="576"/>
      <c r="AA48" s="576"/>
      <c r="AB48" s="576"/>
      <c r="AC48" s="576"/>
      <c r="AD48" s="577"/>
      <c r="AE48" s="579"/>
      <c r="AF48" s="576"/>
      <c r="AG48" s="577"/>
      <c r="AH48" s="579"/>
      <c r="AI48" s="576"/>
      <c r="AJ48" s="577"/>
      <c r="AK48" s="579"/>
      <c r="AL48" s="576"/>
      <c r="AM48" s="576"/>
      <c r="AN48" s="577"/>
      <c r="AO48" s="579"/>
      <c r="AP48" s="576"/>
      <c r="AQ48" s="576"/>
      <c r="AR48" s="584"/>
    </row>
    <row r="49" spans="1:44" ht="18" customHeight="1">
      <c r="C49" s="588"/>
      <c r="D49" s="589"/>
      <c r="E49" s="590"/>
      <c r="F49" s="660"/>
      <c r="G49" s="660"/>
      <c r="H49" s="660"/>
      <c r="I49" s="660"/>
      <c r="J49" s="660"/>
      <c r="K49" s="660"/>
      <c r="L49" s="660"/>
      <c r="M49" s="660"/>
      <c r="N49" s="660"/>
      <c r="O49" s="660"/>
      <c r="P49" s="660"/>
      <c r="Q49" s="660"/>
      <c r="R49" s="660"/>
      <c r="S49" s="661"/>
      <c r="T49" s="662"/>
      <c r="U49" s="663"/>
      <c r="V49" s="661"/>
      <c r="W49" s="662"/>
      <c r="X49" s="663"/>
      <c r="Y49" s="664"/>
      <c r="Z49" s="665"/>
      <c r="AA49" s="665"/>
      <c r="AB49" s="665"/>
      <c r="AC49" s="665"/>
      <c r="AD49" s="666"/>
      <c r="AE49" s="625"/>
      <c r="AF49" s="625"/>
      <c r="AG49" s="625"/>
      <c r="AH49" s="622"/>
      <c r="AI49" s="623"/>
      <c r="AJ49" s="624"/>
      <c r="AK49" s="539"/>
      <c r="AL49" s="540"/>
      <c r="AM49" s="540"/>
      <c r="AN49" s="541"/>
      <c r="AO49" s="622"/>
      <c r="AP49" s="623"/>
      <c r="AQ49" s="623"/>
      <c r="AR49" s="667"/>
    </row>
    <row r="50" spans="1:44" ht="18" customHeight="1">
      <c r="C50" s="600"/>
      <c r="D50" s="601"/>
      <c r="E50" s="602"/>
      <c r="F50" s="668"/>
      <c r="G50" s="669"/>
      <c r="H50" s="669"/>
      <c r="I50" s="669"/>
      <c r="J50" s="669"/>
      <c r="K50" s="669"/>
      <c r="L50" s="669"/>
      <c r="M50" s="669"/>
      <c r="N50" s="669"/>
      <c r="O50" s="669"/>
      <c r="P50" s="669"/>
      <c r="Q50" s="669"/>
      <c r="R50" s="670"/>
      <c r="S50" s="671"/>
      <c r="T50" s="672"/>
      <c r="U50" s="673"/>
      <c r="V50" s="671"/>
      <c r="W50" s="672"/>
      <c r="X50" s="673"/>
      <c r="Y50" s="674"/>
      <c r="Z50" s="675"/>
      <c r="AA50" s="675"/>
      <c r="AB50" s="675"/>
      <c r="AC50" s="675"/>
      <c r="AD50" s="676"/>
      <c r="AE50" s="626"/>
      <c r="AF50" s="627"/>
      <c r="AG50" s="628"/>
      <c r="AH50" s="626"/>
      <c r="AI50" s="627"/>
      <c r="AJ50" s="628"/>
      <c r="AK50" s="542"/>
      <c r="AL50" s="543"/>
      <c r="AM50" s="543"/>
      <c r="AN50" s="544"/>
      <c r="AO50" s="626">
        <f t="shared" ref="AO50:AO56" si="0">ROUND(AE50*AH50*AK50,2)</f>
        <v>0</v>
      </c>
      <c r="AP50" s="627"/>
      <c r="AQ50" s="627"/>
      <c r="AR50" s="659"/>
    </row>
    <row r="51" spans="1:44" ht="18" customHeight="1">
      <c r="C51" s="600"/>
      <c r="D51" s="601"/>
      <c r="E51" s="602"/>
      <c r="F51" s="668"/>
      <c r="G51" s="669"/>
      <c r="H51" s="669"/>
      <c r="I51" s="669"/>
      <c r="J51" s="669"/>
      <c r="K51" s="669"/>
      <c r="L51" s="669"/>
      <c r="M51" s="669"/>
      <c r="N51" s="669"/>
      <c r="O51" s="669"/>
      <c r="P51" s="669"/>
      <c r="Q51" s="669"/>
      <c r="R51" s="670"/>
      <c r="S51" s="671"/>
      <c r="T51" s="672"/>
      <c r="U51" s="673"/>
      <c r="V51" s="671"/>
      <c r="W51" s="672"/>
      <c r="X51" s="673"/>
      <c r="Y51" s="674"/>
      <c r="Z51" s="675"/>
      <c r="AA51" s="675"/>
      <c r="AB51" s="675"/>
      <c r="AC51" s="675"/>
      <c r="AD51" s="676"/>
      <c r="AE51" s="626"/>
      <c r="AF51" s="627"/>
      <c r="AG51" s="628"/>
      <c r="AH51" s="626"/>
      <c r="AI51" s="627"/>
      <c r="AJ51" s="628"/>
      <c r="AK51" s="542"/>
      <c r="AL51" s="543"/>
      <c r="AM51" s="543"/>
      <c r="AN51" s="544"/>
      <c r="AO51" s="626">
        <f t="shared" si="0"/>
        <v>0</v>
      </c>
      <c r="AP51" s="627"/>
      <c r="AQ51" s="627"/>
      <c r="AR51" s="659"/>
    </row>
    <row r="52" spans="1:44" ht="18" customHeight="1">
      <c r="C52" s="600"/>
      <c r="D52" s="601"/>
      <c r="E52" s="602"/>
      <c r="F52" s="668"/>
      <c r="G52" s="669"/>
      <c r="H52" s="669"/>
      <c r="I52" s="669"/>
      <c r="J52" s="669"/>
      <c r="K52" s="669"/>
      <c r="L52" s="669"/>
      <c r="M52" s="669"/>
      <c r="N52" s="669"/>
      <c r="O52" s="669"/>
      <c r="P52" s="669"/>
      <c r="Q52" s="669"/>
      <c r="R52" s="670"/>
      <c r="S52" s="671"/>
      <c r="T52" s="672"/>
      <c r="U52" s="673"/>
      <c r="V52" s="671"/>
      <c r="W52" s="672"/>
      <c r="X52" s="673"/>
      <c r="Y52" s="674"/>
      <c r="Z52" s="675"/>
      <c r="AA52" s="675"/>
      <c r="AB52" s="675"/>
      <c r="AC52" s="675"/>
      <c r="AD52" s="676"/>
      <c r="AE52" s="626"/>
      <c r="AF52" s="627"/>
      <c r="AG52" s="628"/>
      <c r="AH52" s="626"/>
      <c r="AI52" s="627"/>
      <c r="AJ52" s="628"/>
      <c r="AK52" s="542"/>
      <c r="AL52" s="543"/>
      <c r="AM52" s="543"/>
      <c r="AN52" s="544"/>
      <c r="AO52" s="626">
        <f t="shared" si="0"/>
        <v>0</v>
      </c>
      <c r="AP52" s="627"/>
      <c r="AQ52" s="627"/>
      <c r="AR52" s="659"/>
    </row>
    <row r="53" spans="1:44" ht="18" customHeight="1">
      <c r="C53" s="600"/>
      <c r="D53" s="601"/>
      <c r="E53" s="602"/>
      <c r="F53" s="668"/>
      <c r="G53" s="669"/>
      <c r="H53" s="669"/>
      <c r="I53" s="669"/>
      <c r="J53" s="669"/>
      <c r="K53" s="669"/>
      <c r="L53" s="669"/>
      <c r="M53" s="669"/>
      <c r="N53" s="669"/>
      <c r="O53" s="669"/>
      <c r="P53" s="669"/>
      <c r="Q53" s="669"/>
      <c r="R53" s="670"/>
      <c r="S53" s="671"/>
      <c r="T53" s="672"/>
      <c r="U53" s="673"/>
      <c r="V53" s="671"/>
      <c r="W53" s="672"/>
      <c r="X53" s="673"/>
      <c r="Y53" s="674"/>
      <c r="Z53" s="675"/>
      <c r="AA53" s="675"/>
      <c r="AB53" s="675"/>
      <c r="AC53" s="675"/>
      <c r="AD53" s="676"/>
      <c r="AE53" s="626"/>
      <c r="AF53" s="627"/>
      <c r="AG53" s="628"/>
      <c r="AH53" s="626"/>
      <c r="AI53" s="627"/>
      <c r="AJ53" s="628"/>
      <c r="AK53" s="542"/>
      <c r="AL53" s="543"/>
      <c r="AM53" s="543"/>
      <c r="AN53" s="544"/>
      <c r="AO53" s="626">
        <f t="shared" si="0"/>
        <v>0</v>
      </c>
      <c r="AP53" s="627"/>
      <c r="AQ53" s="627"/>
      <c r="AR53" s="659"/>
    </row>
    <row r="54" spans="1:44" ht="18" customHeight="1">
      <c r="C54" s="600"/>
      <c r="D54" s="601"/>
      <c r="E54" s="602"/>
      <c r="F54" s="668"/>
      <c r="G54" s="669"/>
      <c r="H54" s="669"/>
      <c r="I54" s="669"/>
      <c r="J54" s="669"/>
      <c r="K54" s="669"/>
      <c r="L54" s="669"/>
      <c r="M54" s="669"/>
      <c r="N54" s="669"/>
      <c r="O54" s="669"/>
      <c r="P54" s="669"/>
      <c r="Q54" s="669"/>
      <c r="R54" s="670"/>
      <c r="S54" s="671"/>
      <c r="T54" s="672"/>
      <c r="U54" s="673"/>
      <c r="V54" s="671"/>
      <c r="W54" s="672"/>
      <c r="X54" s="673"/>
      <c r="Y54" s="674"/>
      <c r="Z54" s="675"/>
      <c r="AA54" s="675"/>
      <c r="AB54" s="675"/>
      <c r="AC54" s="675"/>
      <c r="AD54" s="676"/>
      <c r="AE54" s="626"/>
      <c r="AF54" s="627"/>
      <c r="AG54" s="628"/>
      <c r="AH54" s="626"/>
      <c r="AI54" s="627"/>
      <c r="AJ54" s="628"/>
      <c r="AK54" s="542"/>
      <c r="AL54" s="543"/>
      <c r="AM54" s="543"/>
      <c r="AN54" s="544"/>
      <c r="AO54" s="626">
        <f t="shared" si="0"/>
        <v>0</v>
      </c>
      <c r="AP54" s="627"/>
      <c r="AQ54" s="627"/>
      <c r="AR54" s="659"/>
    </row>
    <row r="55" spans="1:44" ht="18" customHeight="1">
      <c r="C55" s="600"/>
      <c r="D55" s="601"/>
      <c r="E55" s="602"/>
      <c r="F55" s="668"/>
      <c r="G55" s="669"/>
      <c r="H55" s="669"/>
      <c r="I55" s="669"/>
      <c r="J55" s="669"/>
      <c r="K55" s="669"/>
      <c r="L55" s="669"/>
      <c r="M55" s="669"/>
      <c r="N55" s="669"/>
      <c r="O55" s="669"/>
      <c r="P55" s="669"/>
      <c r="Q55" s="669"/>
      <c r="R55" s="670"/>
      <c r="S55" s="671"/>
      <c r="T55" s="672"/>
      <c r="U55" s="673"/>
      <c r="V55" s="671"/>
      <c r="W55" s="672"/>
      <c r="X55" s="673"/>
      <c r="Y55" s="674"/>
      <c r="Z55" s="675"/>
      <c r="AA55" s="675"/>
      <c r="AB55" s="675"/>
      <c r="AC55" s="675"/>
      <c r="AD55" s="676"/>
      <c r="AE55" s="626"/>
      <c r="AF55" s="627"/>
      <c r="AG55" s="628"/>
      <c r="AH55" s="626"/>
      <c r="AI55" s="627"/>
      <c r="AJ55" s="628"/>
      <c r="AK55" s="542"/>
      <c r="AL55" s="543"/>
      <c r="AM55" s="543"/>
      <c r="AN55" s="544"/>
      <c r="AO55" s="626">
        <f t="shared" si="0"/>
        <v>0</v>
      </c>
      <c r="AP55" s="627"/>
      <c r="AQ55" s="627"/>
      <c r="AR55" s="659"/>
    </row>
    <row r="56" spans="1:44" ht="18" customHeight="1">
      <c r="C56" s="600"/>
      <c r="D56" s="601"/>
      <c r="E56" s="602"/>
      <c r="F56" s="668"/>
      <c r="G56" s="669"/>
      <c r="H56" s="669"/>
      <c r="I56" s="669"/>
      <c r="J56" s="669"/>
      <c r="K56" s="669"/>
      <c r="L56" s="669"/>
      <c r="M56" s="669"/>
      <c r="N56" s="669"/>
      <c r="O56" s="669"/>
      <c r="P56" s="669"/>
      <c r="Q56" s="669"/>
      <c r="R56" s="670"/>
      <c r="S56" s="671"/>
      <c r="T56" s="672"/>
      <c r="U56" s="673"/>
      <c r="V56" s="671"/>
      <c r="W56" s="672"/>
      <c r="X56" s="673"/>
      <c r="Y56" s="674"/>
      <c r="Z56" s="675"/>
      <c r="AA56" s="675"/>
      <c r="AB56" s="675"/>
      <c r="AC56" s="675"/>
      <c r="AD56" s="676"/>
      <c r="AE56" s="626"/>
      <c r="AF56" s="627"/>
      <c r="AG56" s="628"/>
      <c r="AH56" s="626"/>
      <c r="AI56" s="627"/>
      <c r="AJ56" s="628"/>
      <c r="AK56" s="542"/>
      <c r="AL56" s="543"/>
      <c r="AM56" s="543"/>
      <c r="AN56" s="544"/>
      <c r="AO56" s="626">
        <f t="shared" si="0"/>
        <v>0</v>
      </c>
      <c r="AP56" s="627"/>
      <c r="AQ56" s="627"/>
      <c r="AR56" s="659"/>
    </row>
    <row r="57" spans="1:44" ht="18" customHeight="1">
      <c r="C57" s="613"/>
      <c r="D57" s="614"/>
      <c r="E57" s="614"/>
      <c r="F57" s="614"/>
      <c r="G57" s="614"/>
      <c r="H57" s="614"/>
      <c r="I57" s="614"/>
      <c r="J57" s="614"/>
      <c r="K57" s="614"/>
      <c r="L57" s="614"/>
      <c r="M57" s="614"/>
      <c r="N57" s="614"/>
      <c r="O57" s="614"/>
      <c r="P57" s="614"/>
      <c r="Q57" s="614"/>
      <c r="R57" s="614"/>
      <c r="S57" s="614"/>
      <c r="T57" s="614"/>
      <c r="U57" s="614"/>
      <c r="V57" s="614"/>
      <c r="W57" s="614"/>
      <c r="X57" s="614"/>
      <c r="Y57" s="639" t="s">
        <v>95</v>
      </c>
      <c r="Z57" s="639"/>
      <c r="AA57" s="639"/>
      <c r="AB57" s="639"/>
      <c r="AC57" s="639"/>
      <c r="AD57" s="639"/>
      <c r="AE57" s="639"/>
      <c r="AF57" s="639"/>
      <c r="AG57" s="639"/>
      <c r="AH57" s="639"/>
      <c r="AI57" s="639"/>
      <c r="AJ57" s="639"/>
      <c r="AK57" s="639"/>
      <c r="AL57" s="639"/>
      <c r="AM57" s="639"/>
      <c r="AN57" s="640"/>
      <c r="AO57" s="619">
        <f>SUM(AO49:AR56)</f>
        <v>0</v>
      </c>
      <c r="AP57" s="620"/>
      <c r="AQ57" s="620"/>
      <c r="AR57" s="621"/>
    </row>
    <row r="59" spans="1:44" ht="18" customHeight="1">
      <c r="C59" s="677"/>
      <c r="D59" s="677"/>
      <c r="E59" s="677"/>
      <c r="F59" s="677"/>
      <c r="G59" s="677"/>
      <c r="H59" s="677"/>
      <c r="I59" s="677"/>
      <c r="J59" s="677"/>
      <c r="K59" s="677"/>
      <c r="L59" s="677"/>
      <c r="M59" s="677"/>
      <c r="N59" s="677"/>
      <c r="O59" s="677"/>
      <c r="P59" s="677"/>
      <c r="Q59" s="677"/>
      <c r="R59" s="677"/>
      <c r="S59" s="677"/>
      <c r="T59" s="677"/>
      <c r="U59" s="677"/>
      <c r="V59" s="677"/>
      <c r="W59" s="677"/>
      <c r="X59" s="678"/>
      <c r="Y59" s="679" t="s">
        <v>96</v>
      </c>
      <c r="Z59" s="680"/>
      <c r="AA59" s="680"/>
      <c r="AB59" s="680"/>
      <c r="AC59" s="680"/>
      <c r="AD59" s="680"/>
      <c r="AE59" s="680"/>
      <c r="AF59" s="680"/>
      <c r="AG59" s="680"/>
      <c r="AH59" s="680"/>
      <c r="AI59" s="680"/>
      <c r="AJ59" s="680"/>
      <c r="AK59" s="680"/>
      <c r="AL59" s="680"/>
      <c r="AM59" s="680"/>
      <c r="AN59" s="681"/>
      <c r="AO59" s="682">
        <f>AO33+AO45+AO57</f>
        <v>15</v>
      </c>
      <c r="AP59" s="683"/>
      <c r="AQ59" s="683"/>
      <c r="AR59" s="684"/>
    </row>
    <row r="60" spans="1:44" ht="18" customHeight="1">
      <c r="C60" s="677"/>
      <c r="D60" s="677"/>
      <c r="E60" s="677"/>
      <c r="F60" s="677"/>
      <c r="G60" s="677"/>
      <c r="H60" s="677"/>
      <c r="I60" s="677"/>
      <c r="J60" s="677"/>
      <c r="K60" s="677"/>
      <c r="L60" s="677"/>
      <c r="M60" s="677"/>
      <c r="N60" s="677"/>
      <c r="O60" s="677"/>
      <c r="P60" s="677"/>
      <c r="Q60" s="677"/>
      <c r="R60" s="677"/>
      <c r="S60" s="677"/>
      <c r="T60" s="677"/>
      <c r="U60" s="677"/>
      <c r="V60" s="677"/>
      <c r="W60" s="677"/>
      <c r="X60" s="678"/>
      <c r="Y60" s="685" t="s">
        <v>97</v>
      </c>
      <c r="Z60" s="686"/>
      <c r="AA60" s="686"/>
      <c r="AB60" s="686"/>
      <c r="AC60" s="686"/>
      <c r="AD60" s="686"/>
      <c r="AE60" s="686"/>
      <c r="AF60" s="686"/>
      <c r="AG60" s="686"/>
      <c r="AH60" s="687">
        <v>0.2031</v>
      </c>
      <c r="AI60" s="687"/>
      <c r="AJ60" s="687"/>
      <c r="AK60" s="687"/>
      <c r="AL60" s="687"/>
      <c r="AM60" s="687"/>
      <c r="AN60" s="688"/>
      <c r="AO60" s="689">
        <f>ROUND(AO59*AH60,2)</f>
        <v>3.05</v>
      </c>
      <c r="AP60" s="690"/>
      <c r="AQ60" s="690"/>
      <c r="AR60" s="691"/>
    </row>
    <row r="61" spans="1:44" ht="18" customHeight="1">
      <c r="A61" s="692" t="s">
        <v>982</v>
      </c>
      <c r="B61" s="692"/>
      <c r="C61" s="677"/>
      <c r="D61" s="677"/>
      <c r="E61" s="677"/>
      <c r="F61" s="677"/>
      <c r="G61" s="677"/>
      <c r="H61" s="677"/>
      <c r="I61" s="677"/>
      <c r="J61" s="677"/>
      <c r="K61" s="677"/>
      <c r="L61" s="677"/>
      <c r="M61" s="677"/>
      <c r="N61" s="677"/>
      <c r="O61" s="677"/>
      <c r="P61" s="677"/>
      <c r="Q61" s="677"/>
      <c r="R61" s="677"/>
      <c r="S61" s="677"/>
      <c r="T61" s="677"/>
      <c r="U61" s="677"/>
      <c r="V61" s="677"/>
      <c r="W61" s="677"/>
      <c r="X61" s="678"/>
      <c r="Y61" s="693" t="s">
        <v>98</v>
      </c>
      <c r="Z61" s="694"/>
      <c r="AA61" s="694"/>
      <c r="AB61" s="694"/>
      <c r="AC61" s="694"/>
      <c r="AD61" s="694"/>
      <c r="AE61" s="694"/>
      <c r="AF61" s="694"/>
      <c r="AG61" s="694"/>
      <c r="AH61" s="694"/>
      <c r="AI61" s="694"/>
      <c r="AJ61" s="694"/>
      <c r="AK61" s="694"/>
      <c r="AL61" s="694"/>
      <c r="AM61" s="694"/>
      <c r="AN61" s="695"/>
      <c r="AO61" s="696">
        <f>SUM(AO59:AR60)</f>
        <v>18.05</v>
      </c>
      <c r="AP61" s="697"/>
      <c r="AQ61" s="697"/>
      <c r="AR61" s="698"/>
    </row>
    <row r="63" spans="1:44" ht="18" customHeight="1">
      <c r="C63" s="699" t="s">
        <v>99</v>
      </c>
      <c r="D63" s="700"/>
      <c r="E63" s="700"/>
      <c r="F63" s="700"/>
      <c r="G63" s="700"/>
      <c r="H63" s="700"/>
      <c r="I63" s="701"/>
      <c r="J63" s="701"/>
      <c r="K63" s="701"/>
      <c r="L63" s="701"/>
      <c r="M63" s="701"/>
      <c r="N63" s="701"/>
      <c r="O63" s="701"/>
      <c r="P63" s="701"/>
      <c r="Q63" s="701"/>
      <c r="R63" s="701"/>
      <c r="S63" s="701"/>
      <c r="T63" s="701"/>
      <c r="U63" s="701"/>
      <c r="V63" s="701"/>
      <c r="W63" s="701"/>
      <c r="X63" s="701"/>
      <c r="Y63" s="701"/>
      <c r="Z63" s="701"/>
      <c r="AA63" s="701"/>
      <c r="AB63" s="701"/>
      <c r="AC63" s="701"/>
      <c r="AD63" s="701"/>
      <c r="AE63" s="701"/>
      <c r="AF63" s="701"/>
      <c r="AG63" s="701"/>
      <c r="AH63" s="701"/>
      <c r="AI63" s="701"/>
      <c r="AJ63" s="701"/>
      <c r="AK63" s="701"/>
      <c r="AL63" s="701"/>
      <c r="AM63" s="701"/>
      <c r="AN63" s="701"/>
      <c r="AO63" s="701"/>
      <c r="AP63" s="701"/>
      <c r="AQ63" s="701"/>
      <c r="AR63" s="702"/>
    </row>
    <row r="64" spans="1:44" ht="18" customHeight="1">
      <c r="C64" s="705"/>
      <c r="D64" s="706"/>
      <c r="E64" s="706"/>
      <c r="F64" s="706"/>
      <c r="G64" s="706"/>
      <c r="H64" s="706"/>
      <c r="I64" s="703"/>
      <c r="J64" s="703"/>
      <c r="K64" s="703"/>
      <c r="L64" s="703"/>
      <c r="M64" s="703"/>
      <c r="N64" s="703"/>
      <c r="O64" s="703"/>
      <c r="P64" s="703"/>
      <c r="Q64" s="703"/>
      <c r="R64" s="703"/>
      <c r="S64" s="703"/>
      <c r="T64" s="703"/>
      <c r="U64" s="703"/>
      <c r="V64" s="703"/>
      <c r="W64" s="703"/>
      <c r="X64" s="703"/>
      <c r="Y64" s="703"/>
      <c r="Z64" s="703"/>
      <c r="AA64" s="703"/>
      <c r="AB64" s="703"/>
      <c r="AC64" s="703"/>
      <c r="AD64" s="703"/>
      <c r="AE64" s="703"/>
      <c r="AF64" s="703"/>
      <c r="AG64" s="703"/>
      <c r="AH64" s="703"/>
      <c r="AI64" s="703"/>
      <c r="AJ64" s="703"/>
      <c r="AK64" s="703"/>
      <c r="AL64" s="703"/>
      <c r="AM64" s="703"/>
      <c r="AN64" s="703"/>
      <c r="AO64" s="703"/>
      <c r="AP64" s="703"/>
      <c r="AQ64" s="703"/>
      <c r="AR64" s="704"/>
    </row>
    <row r="65" spans="3:44" ht="18" customHeight="1">
      <c r="C65" s="705"/>
      <c r="D65" s="706"/>
      <c r="E65" s="706"/>
      <c r="F65" s="706"/>
      <c r="G65" s="706"/>
      <c r="H65" s="706"/>
      <c r="I65" s="703"/>
      <c r="J65" s="703"/>
      <c r="K65" s="703"/>
      <c r="L65" s="703"/>
      <c r="M65" s="703"/>
      <c r="N65" s="703"/>
      <c r="O65" s="703"/>
      <c r="P65" s="703"/>
      <c r="Q65" s="703"/>
      <c r="R65" s="703"/>
      <c r="S65" s="703"/>
      <c r="T65" s="703"/>
      <c r="U65" s="703"/>
      <c r="V65" s="703"/>
      <c r="W65" s="703"/>
      <c r="X65" s="703"/>
      <c r="Y65" s="703"/>
      <c r="Z65" s="703"/>
      <c r="AA65" s="703"/>
      <c r="AB65" s="703"/>
      <c r="AC65" s="703"/>
      <c r="AD65" s="703"/>
      <c r="AE65" s="703"/>
      <c r="AF65" s="703"/>
      <c r="AG65" s="703"/>
      <c r="AH65" s="703"/>
      <c r="AI65" s="703"/>
      <c r="AJ65" s="703"/>
      <c r="AK65" s="703"/>
      <c r="AL65" s="703"/>
      <c r="AM65" s="703"/>
      <c r="AN65" s="703"/>
      <c r="AO65" s="703"/>
      <c r="AP65" s="703"/>
      <c r="AQ65" s="703"/>
      <c r="AR65" s="704"/>
    </row>
    <row r="66" spans="3:44" ht="18" customHeight="1">
      <c r="C66" s="705"/>
      <c r="D66" s="706"/>
      <c r="E66" s="706"/>
      <c r="F66" s="706"/>
      <c r="G66" s="706"/>
      <c r="H66" s="706"/>
      <c r="I66" s="703"/>
      <c r="J66" s="703"/>
      <c r="K66" s="703"/>
      <c r="L66" s="703"/>
      <c r="M66" s="703"/>
      <c r="N66" s="703"/>
      <c r="O66" s="703"/>
      <c r="P66" s="703"/>
      <c r="Q66" s="703"/>
      <c r="R66" s="703"/>
      <c r="S66" s="703"/>
      <c r="T66" s="703"/>
      <c r="U66" s="703"/>
      <c r="V66" s="703"/>
      <c r="W66" s="703"/>
      <c r="X66" s="703"/>
      <c r="Y66" s="703"/>
      <c r="Z66" s="703"/>
      <c r="AA66" s="703"/>
      <c r="AB66" s="703"/>
      <c r="AC66" s="703"/>
      <c r="AD66" s="703"/>
      <c r="AE66" s="703"/>
      <c r="AF66" s="703"/>
      <c r="AG66" s="703"/>
      <c r="AH66" s="703"/>
      <c r="AI66" s="703"/>
      <c r="AJ66" s="703"/>
      <c r="AK66" s="703"/>
      <c r="AL66" s="703"/>
      <c r="AM66" s="703"/>
      <c r="AN66" s="703"/>
      <c r="AO66" s="703"/>
      <c r="AP66" s="703"/>
      <c r="AQ66" s="703"/>
      <c r="AR66" s="704"/>
    </row>
    <row r="67" spans="3:44" ht="18" customHeight="1">
      <c r="C67" s="705"/>
      <c r="D67" s="706"/>
      <c r="E67" s="706"/>
      <c r="F67" s="706"/>
      <c r="G67" s="706"/>
      <c r="H67" s="706"/>
      <c r="I67" s="703"/>
      <c r="J67" s="703"/>
      <c r="K67" s="703"/>
      <c r="L67" s="703"/>
      <c r="M67" s="703"/>
      <c r="N67" s="703"/>
      <c r="O67" s="703"/>
      <c r="P67" s="703"/>
      <c r="Q67" s="703"/>
      <c r="R67" s="703"/>
      <c r="S67" s="703"/>
      <c r="T67" s="703"/>
      <c r="U67" s="703"/>
      <c r="V67" s="703"/>
      <c r="W67" s="703"/>
      <c r="X67" s="703"/>
      <c r="Y67" s="703"/>
      <c r="Z67" s="703"/>
      <c r="AA67" s="703"/>
      <c r="AB67" s="703"/>
      <c r="AC67" s="703"/>
      <c r="AD67" s="703"/>
      <c r="AE67" s="703"/>
      <c r="AF67" s="703"/>
      <c r="AG67" s="703"/>
      <c r="AH67" s="703"/>
      <c r="AI67" s="703"/>
      <c r="AJ67" s="703"/>
      <c r="AK67" s="703"/>
      <c r="AL67" s="703"/>
      <c r="AM67" s="703"/>
      <c r="AN67" s="703"/>
      <c r="AO67" s="703"/>
      <c r="AP67" s="703"/>
      <c r="AQ67" s="703"/>
      <c r="AR67" s="704"/>
    </row>
    <row r="68" spans="3:44" ht="18" customHeight="1">
      <c r="C68" s="712"/>
      <c r="D68" s="713"/>
      <c r="E68" s="713"/>
      <c r="F68" s="713"/>
      <c r="G68" s="713"/>
      <c r="H68" s="713"/>
      <c r="I68" s="714"/>
      <c r="J68" s="714"/>
      <c r="K68" s="714"/>
      <c r="L68" s="714"/>
      <c r="M68" s="714"/>
      <c r="N68" s="714"/>
      <c r="O68" s="714"/>
      <c r="P68" s="714"/>
      <c r="Q68" s="714"/>
      <c r="R68" s="714"/>
      <c r="S68" s="714"/>
      <c r="T68" s="714"/>
      <c r="U68" s="714"/>
      <c r="V68" s="714"/>
      <c r="W68" s="714"/>
      <c r="X68" s="714"/>
      <c r="Y68" s="714"/>
      <c r="Z68" s="714"/>
      <c r="AA68" s="714"/>
      <c r="AB68" s="714"/>
      <c r="AC68" s="714"/>
      <c r="AD68" s="714"/>
      <c r="AE68" s="714"/>
      <c r="AF68" s="714"/>
      <c r="AG68" s="714"/>
      <c r="AH68" s="714"/>
      <c r="AI68" s="714"/>
      <c r="AJ68" s="714"/>
      <c r="AK68" s="714"/>
      <c r="AL68" s="714"/>
      <c r="AM68" s="714"/>
      <c r="AN68" s="714"/>
      <c r="AO68" s="714"/>
      <c r="AP68" s="714"/>
      <c r="AQ68" s="714"/>
      <c r="AR68" s="715"/>
    </row>
    <row r="70" spans="3:44" ht="18" customHeight="1">
      <c r="C70" s="716" t="s">
        <v>100</v>
      </c>
      <c r="D70" s="717"/>
      <c r="E70" s="717"/>
      <c r="F70" s="717"/>
      <c r="G70" s="717"/>
      <c r="H70" s="717"/>
      <c r="I70" s="717"/>
      <c r="J70" s="717"/>
      <c r="K70" s="717"/>
      <c r="L70" s="717"/>
      <c r="M70" s="717"/>
      <c r="N70" s="717"/>
      <c r="O70" s="717"/>
      <c r="P70" s="717"/>
      <c r="Q70" s="717"/>
      <c r="R70" s="717"/>
      <c r="S70" s="717"/>
      <c r="T70" s="717"/>
      <c r="U70" s="717"/>
      <c r="V70" s="717"/>
      <c r="W70" s="717"/>
      <c r="X70" s="717"/>
      <c r="Y70" s="717"/>
      <c r="Z70" s="717"/>
      <c r="AA70" s="718"/>
      <c r="AB70" s="392" t="str">
        <f>[4]C.UNIT.SERV.!$E$5</f>
        <v>DATA-BASE:      MAIO/2011/PR</v>
      </c>
      <c r="AC70" s="393"/>
      <c r="AD70" s="393"/>
      <c r="AE70" s="393"/>
      <c r="AF70" s="393"/>
      <c r="AG70" s="393"/>
      <c r="AH70" s="393"/>
      <c r="AI70" s="394"/>
      <c r="AJ70" s="719"/>
      <c r="AK70" s="720"/>
      <c r="AL70" s="720"/>
      <c r="AM70" s="720"/>
      <c r="AN70" s="720"/>
      <c r="AO70" s="720"/>
      <c r="AP70" s="720"/>
      <c r="AQ70" s="720"/>
      <c r="AR70" s="721"/>
    </row>
    <row r="71" spans="3:44" ht="18" customHeight="1">
      <c r="C71" s="709" t="s">
        <v>101</v>
      </c>
      <c r="D71" s="707"/>
      <c r="E71" s="707"/>
      <c r="F71" s="707"/>
      <c r="G71" s="707" t="s">
        <v>283</v>
      </c>
      <c r="H71" s="707"/>
      <c r="I71" s="707"/>
      <c r="J71" s="707"/>
      <c r="K71" s="707"/>
      <c r="L71" s="707"/>
      <c r="M71" s="707"/>
      <c r="N71" s="707"/>
      <c r="O71" s="707"/>
      <c r="P71" s="707"/>
      <c r="Q71" s="707"/>
      <c r="R71" s="707"/>
      <c r="S71" s="707"/>
      <c r="T71" s="707"/>
      <c r="U71" s="707"/>
      <c r="V71" s="707"/>
      <c r="W71" s="707"/>
      <c r="X71" s="707"/>
      <c r="Y71" s="707"/>
      <c r="Z71" s="707"/>
      <c r="AA71" s="708"/>
      <c r="AB71" s="395"/>
      <c r="AC71" s="396"/>
      <c r="AD71" s="396"/>
      <c r="AE71" s="396"/>
      <c r="AF71" s="396"/>
      <c r="AG71" s="396"/>
      <c r="AH71" s="396"/>
      <c r="AI71" s="397"/>
      <c r="AJ71" s="722"/>
      <c r="AK71" s="723"/>
      <c r="AL71" s="723"/>
      <c r="AM71" s="723"/>
      <c r="AN71" s="723"/>
      <c r="AO71" s="723"/>
      <c r="AP71" s="723"/>
      <c r="AQ71" s="723"/>
      <c r="AR71" s="724"/>
    </row>
    <row r="72" spans="3:44" ht="18" customHeight="1">
      <c r="C72" s="709" t="s">
        <v>102</v>
      </c>
      <c r="D72" s="707"/>
      <c r="E72" s="707"/>
      <c r="F72" s="707"/>
      <c r="G72" s="707"/>
      <c r="H72" s="707"/>
      <c r="I72" s="707"/>
      <c r="J72" s="707"/>
      <c r="K72" s="707"/>
      <c r="L72" s="707"/>
      <c r="M72" s="707"/>
      <c r="N72" s="707"/>
      <c r="O72" s="707"/>
      <c r="P72" s="707"/>
      <c r="Q72" s="707"/>
      <c r="R72" s="707"/>
      <c r="S72" s="707"/>
      <c r="T72" s="707"/>
      <c r="U72" s="707"/>
      <c r="V72" s="707"/>
      <c r="W72" s="707"/>
      <c r="X72" s="707"/>
      <c r="Y72" s="707"/>
      <c r="Z72" s="707"/>
      <c r="AA72" s="708"/>
      <c r="AB72" s="395"/>
      <c r="AC72" s="396"/>
      <c r="AD72" s="396"/>
      <c r="AE72" s="396"/>
      <c r="AF72" s="396"/>
      <c r="AG72" s="396"/>
      <c r="AH72" s="396"/>
      <c r="AI72" s="397"/>
      <c r="AJ72" s="722"/>
      <c r="AK72" s="723"/>
      <c r="AL72" s="723"/>
      <c r="AM72" s="723"/>
      <c r="AN72" s="723"/>
      <c r="AO72" s="723"/>
      <c r="AP72" s="723"/>
      <c r="AQ72" s="723"/>
      <c r="AR72" s="724"/>
    </row>
    <row r="73" spans="3:44" ht="18" customHeight="1">
      <c r="C73" s="710"/>
      <c r="D73" s="711"/>
      <c r="E73" s="711"/>
      <c r="F73" s="711"/>
      <c r="G73" s="711"/>
      <c r="H73" s="711"/>
      <c r="I73" s="711"/>
      <c r="J73" s="711"/>
      <c r="K73" s="711"/>
      <c r="L73" s="711"/>
      <c r="M73" s="711"/>
      <c r="N73" s="711"/>
      <c r="O73" s="711"/>
      <c r="P73" s="711"/>
      <c r="Q73" s="711"/>
      <c r="R73" s="711"/>
      <c r="S73" s="711"/>
      <c r="T73" s="711"/>
      <c r="U73" s="711"/>
      <c r="V73" s="711"/>
      <c r="W73" s="711"/>
      <c r="X73" s="711"/>
      <c r="Y73" s="711"/>
      <c r="Z73" s="711"/>
      <c r="AA73" s="711"/>
      <c r="AB73" s="398"/>
      <c r="AC73" s="399"/>
      <c r="AD73" s="399"/>
      <c r="AE73" s="399"/>
      <c r="AF73" s="399"/>
      <c r="AG73" s="399"/>
      <c r="AH73" s="399"/>
      <c r="AI73" s="400"/>
      <c r="AJ73" s="725"/>
      <c r="AK73" s="726"/>
      <c r="AL73" s="726"/>
      <c r="AM73" s="726"/>
      <c r="AN73" s="726"/>
      <c r="AO73" s="726"/>
      <c r="AP73" s="726"/>
      <c r="AQ73" s="726"/>
      <c r="AR73" s="727"/>
    </row>
  </sheetData>
  <mergeCells count="343">
    <mergeCell ref="G71:AA71"/>
    <mergeCell ref="C72:F72"/>
    <mergeCell ref="G72:AA72"/>
    <mergeCell ref="C73:AA73"/>
    <mergeCell ref="AC66:AR66"/>
    <mergeCell ref="C67:H67"/>
    <mergeCell ref="I67:J67"/>
    <mergeCell ref="K67:Z67"/>
    <mergeCell ref="AA67:AB67"/>
    <mergeCell ref="AC67:AR67"/>
    <mergeCell ref="C68:H68"/>
    <mergeCell ref="I68:J68"/>
    <mergeCell ref="K68:Z68"/>
    <mergeCell ref="AA68:AB68"/>
    <mergeCell ref="AC68:AR68"/>
    <mergeCell ref="C70:F70"/>
    <mergeCell ref="G70:AA70"/>
    <mergeCell ref="AB70:AI73"/>
    <mergeCell ref="AJ70:AR73"/>
    <mergeCell ref="C71:F71"/>
    <mergeCell ref="C65:H65"/>
    <mergeCell ref="I65:J65"/>
    <mergeCell ref="K65:Z65"/>
    <mergeCell ref="AA65:AB65"/>
    <mergeCell ref="AC65:AR65"/>
    <mergeCell ref="C66:H66"/>
    <mergeCell ref="I66:J66"/>
    <mergeCell ref="K66:Z66"/>
    <mergeCell ref="AA66:AB66"/>
    <mergeCell ref="A61:B61"/>
    <mergeCell ref="Y61:AN61"/>
    <mergeCell ref="AO61:AR61"/>
    <mergeCell ref="C63:H63"/>
    <mergeCell ref="I63:J63"/>
    <mergeCell ref="K63:Z63"/>
    <mergeCell ref="AA63:AB63"/>
    <mergeCell ref="AC63:AR63"/>
    <mergeCell ref="AC64:AR64"/>
    <mergeCell ref="C64:H64"/>
    <mergeCell ref="I64:J64"/>
    <mergeCell ref="K64:Z64"/>
    <mergeCell ref="AA64:AB64"/>
    <mergeCell ref="C57:X57"/>
    <mergeCell ref="Y57:AN57"/>
    <mergeCell ref="AO57:AR57"/>
    <mergeCell ref="C59:X61"/>
    <mergeCell ref="Y59:AN59"/>
    <mergeCell ref="AO59:AR59"/>
    <mergeCell ref="Y60:AG60"/>
    <mergeCell ref="AH60:AN60"/>
    <mergeCell ref="AO60:AR60"/>
    <mergeCell ref="C56:E56"/>
    <mergeCell ref="F56:R56"/>
    <mergeCell ref="S56:U56"/>
    <mergeCell ref="V56:X56"/>
    <mergeCell ref="Y56:AD56"/>
    <mergeCell ref="AE56:AG56"/>
    <mergeCell ref="AH56:AJ56"/>
    <mergeCell ref="AK56:AN56"/>
    <mergeCell ref="AO56:AR56"/>
    <mergeCell ref="C55:E55"/>
    <mergeCell ref="F55:R55"/>
    <mergeCell ref="S55:U55"/>
    <mergeCell ref="V55:X55"/>
    <mergeCell ref="Y55:AD55"/>
    <mergeCell ref="AE55:AG55"/>
    <mergeCell ref="AH55:AJ55"/>
    <mergeCell ref="AK55:AN55"/>
    <mergeCell ref="AO55:AR55"/>
    <mergeCell ref="C54:E54"/>
    <mergeCell ref="F54:R54"/>
    <mergeCell ref="S54:U54"/>
    <mergeCell ref="V54:X54"/>
    <mergeCell ref="Y54:AD54"/>
    <mergeCell ref="AE54:AG54"/>
    <mergeCell ref="AH54:AJ54"/>
    <mergeCell ref="AK54:AN54"/>
    <mergeCell ref="AO54:AR54"/>
    <mergeCell ref="C53:E53"/>
    <mergeCell ref="F53:R53"/>
    <mergeCell ref="S53:U53"/>
    <mergeCell ref="V53:X53"/>
    <mergeCell ref="Y53:AD53"/>
    <mergeCell ref="AE53:AG53"/>
    <mergeCell ref="AH53:AJ53"/>
    <mergeCell ref="AK53:AN53"/>
    <mergeCell ref="AO53:AR53"/>
    <mergeCell ref="C52:E52"/>
    <mergeCell ref="F52:R52"/>
    <mergeCell ref="S52:U52"/>
    <mergeCell ref="V52:X52"/>
    <mergeCell ref="Y52:AD52"/>
    <mergeCell ref="AE52:AG52"/>
    <mergeCell ref="AH52:AJ52"/>
    <mergeCell ref="AK52:AN52"/>
    <mergeCell ref="AO52:AR52"/>
    <mergeCell ref="C51:E51"/>
    <mergeCell ref="F51:R51"/>
    <mergeCell ref="S51:U51"/>
    <mergeCell ref="V51:X51"/>
    <mergeCell ref="Y51:AD51"/>
    <mergeCell ref="AE51:AG51"/>
    <mergeCell ref="AH51:AJ51"/>
    <mergeCell ref="AK51:AN51"/>
    <mergeCell ref="AO51:AR51"/>
    <mergeCell ref="C50:E50"/>
    <mergeCell ref="F50:R50"/>
    <mergeCell ref="S50:U50"/>
    <mergeCell ref="V50:X50"/>
    <mergeCell ref="Y50:AD50"/>
    <mergeCell ref="AE50:AG50"/>
    <mergeCell ref="AH50:AJ50"/>
    <mergeCell ref="AK50:AN50"/>
    <mergeCell ref="AO50:AR50"/>
    <mergeCell ref="C49:E49"/>
    <mergeCell ref="F49:R49"/>
    <mergeCell ref="S49:U49"/>
    <mergeCell ref="V49:X49"/>
    <mergeCell ref="Y49:AD49"/>
    <mergeCell ref="AE49:AG49"/>
    <mergeCell ref="AH49:AJ49"/>
    <mergeCell ref="AK49:AN49"/>
    <mergeCell ref="AO49:AR49"/>
    <mergeCell ref="C45:X45"/>
    <mergeCell ref="Y45:AN45"/>
    <mergeCell ref="AO45:AR45"/>
    <mergeCell ref="C47:E48"/>
    <mergeCell ref="F47:R48"/>
    <mergeCell ref="S47:U48"/>
    <mergeCell ref="V47:X48"/>
    <mergeCell ref="Y47:AD48"/>
    <mergeCell ref="AE47:AG48"/>
    <mergeCell ref="AH47:AJ48"/>
    <mergeCell ref="AK47:AN48"/>
    <mergeCell ref="AO47:AR48"/>
    <mergeCell ref="C43:E43"/>
    <mergeCell ref="F43:AB43"/>
    <mergeCell ref="AC43:AF43"/>
    <mergeCell ref="AG43:AJ43"/>
    <mergeCell ref="AK43:AN43"/>
    <mergeCell ref="AO43:AR43"/>
    <mergeCell ref="C44:E44"/>
    <mergeCell ref="F44:AB44"/>
    <mergeCell ref="AC44:AF44"/>
    <mergeCell ref="AG44:AJ44"/>
    <mergeCell ref="AK44:AN44"/>
    <mergeCell ref="AO44:AR44"/>
    <mergeCell ref="C41:E41"/>
    <mergeCell ref="F41:AB41"/>
    <mergeCell ref="AC41:AF41"/>
    <mergeCell ref="AG41:AJ41"/>
    <mergeCell ref="AK41:AN41"/>
    <mergeCell ref="AO41:AR41"/>
    <mergeCell ref="C42:E42"/>
    <mergeCell ref="F42:AB42"/>
    <mergeCell ref="AC42:AF42"/>
    <mergeCell ref="AG42:AJ42"/>
    <mergeCell ref="AK42:AN42"/>
    <mergeCell ref="AO42:AR42"/>
    <mergeCell ref="C39:E39"/>
    <mergeCell ref="F39:AB39"/>
    <mergeCell ref="AC39:AF39"/>
    <mergeCell ref="AG39:AJ39"/>
    <mergeCell ref="AK39:AN39"/>
    <mergeCell ref="AO39:AR39"/>
    <mergeCell ref="C40:E40"/>
    <mergeCell ref="F40:AB40"/>
    <mergeCell ref="AC40:AF40"/>
    <mergeCell ref="AG40:AJ40"/>
    <mergeCell ref="AK40:AN40"/>
    <mergeCell ref="AO40:AR40"/>
    <mergeCell ref="C37:E37"/>
    <mergeCell ref="F37:AB37"/>
    <mergeCell ref="AC37:AF37"/>
    <mergeCell ref="AG37:AJ37"/>
    <mergeCell ref="AK37:AN37"/>
    <mergeCell ref="AO37:AR37"/>
    <mergeCell ref="C38:E38"/>
    <mergeCell ref="F38:AB38"/>
    <mergeCell ref="AC38:AF38"/>
    <mergeCell ref="AG38:AJ38"/>
    <mergeCell ref="AK38:AN38"/>
    <mergeCell ref="AO38:AR38"/>
    <mergeCell ref="C33:P33"/>
    <mergeCell ref="Q33:U33"/>
    <mergeCell ref="V33:X33"/>
    <mergeCell ref="Y33:AN33"/>
    <mergeCell ref="AO33:AR33"/>
    <mergeCell ref="C35:E36"/>
    <mergeCell ref="F35:AB36"/>
    <mergeCell ref="AC35:AF36"/>
    <mergeCell ref="AG35:AJ36"/>
    <mergeCell ref="AK35:AN36"/>
    <mergeCell ref="AO35:AR36"/>
    <mergeCell ref="C29:X29"/>
    <mergeCell ref="Y29:AF29"/>
    <mergeCell ref="AG29:AJ29"/>
    <mergeCell ref="AK29:AN29"/>
    <mergeCell ref="AO29:AR29"/>
    <mergeCell ref="C30:X30"/>
    <mergeCell ref="Y30:AN30"/>
    <mergeCell ref="AO30:AR30"/>
    <mergeCell ref="C32:X32"/>
    <mergeCell ref="Y32:AN32"/>
    <mergeCell ref="AO32:AR32"/>
    <mergeCell ref="C27:E27"/>
    <mergeCell ref="F27:AB27"/>
    <mergeCell ref="AC27:AF27"/>
    <mergeCell ref="AG27:AJ27"/>
    <mergeCell ref="AK27:AN27"/>
    <mergeCell ref="AO27:AR27"/>
    <mergeCell ref="C28:E28"/>
    <mergeCell ref="F28:AB28"/>
    <mergeCell ref="AC28:AF28"/>
    <mergeCell ref="AG28:AJ28"/>
    <mergeCell ref="AK28:AN28"/>
    <mergeCell ref="AO28:AR28"/>
    <mergeCell ref="C25:E25"/>
    <mergeCell ref="F25:AB25"/>
    <mergeCell ref="AC25:AF25"/>
    <mergeCell ref="AG25:AJ25"/>
    <mergeCell ref="AK25:AN25"/>
    <mergeCell ref="AO25:AR25"/>
    <mergeCell ref="C26:E26"/>
    <mergeCell ref="F26:AB26"/>
    <mergeCell ref="AC26:AF26"/>
    <mergeCell ref="AG26:AJ26"/>
    <mergeCell ref="AK26:AN26"/>
    <mergeCell ref="AO26:AR26"/>
    <mergeCell ref="C23:E23"/>
    <mergeCell ref="F23:AB23"/>
    <mergeCell ref="AC23:AF23"/>
    <mergeCell ref="AG23:AJ23"/>
    <mergeCell ref="AK23:AN23"/>
    <mergeCell ref="AO23:AR23"/>
    <mergeCell ref="C24:E24"/>
    <mergeCell ref="F24:AB24"/>
    <mergeCell ref="AC24:AF24"/>
    <mergeCell ref="AG24:AJ24"/>
    <mergeCell ref="AK24:AN24"/>
    <mergeCell ref="AO24:AR24"/>
    <mergeCell ref="C21:E21"/>
    <mergeCell ref="F21:AB21"/>
    <mergeCell ref="AC21:AF21"/>
    <mergeCell ref="AG21:AJ21"/>
    <mergeCell ref="AK21:AN21"/>
    <mergeCell ref="AO21:AR21"/>
    <mergeCell ref="C22:E22"/>
    <mergeCell ref="F22:AB22"/>
    <mergeCell ref="AC22:AF22"/>
    <mergeCell ref="AG22:AJ22"/>
    <mergeCell ref="AK22:AN22"/>
    <mergeCell ref="AO22:AR22"/>
    <mergeCell ref="C17:X17"/>
    <mergeCell ref="Y17:AN17"/>
    <mergeCell ref="AO17:AR17"/>
    <mergeCell ref="C19:E20"/>
    <mergeCell ref="F19:AB20"/>
    <mergeCell ref="AC19:AF20"/>
    <mergeCell ref="AG19:AJ20"/>
    <mergeCell ref="AK19:AN20"/>
    <mergeCell ref="AO19:AR20"/>
    <mergeCell ref="C15:E15"/>
    <mergeCell ref="F15:U15"/>
    <mergeCell ref="V15:X15"/>
    <mergeCell ref="Y15:AB15"/>
    <mergeCell ref="AC15:AF15"/>
    <mergeCell ref="AG15:AJ15"/>
    <mergeCell ref="AK15:AN15"/>
    <mergeCell ref="AO15:AR15"/>
    <mergeCell ref="C16:E16"/>
    <mergeCell ref="F16:U16"/>
    <mergeCell ref="V16:X16"/>
    <mergeCell ref="Y16:AB16"/>
    <mergeCell ref="AC16:AF16"/>
    <mergeCell ref="AG16:AJ16"/>
    <mergeCell ref="AK16:AN16"/>
    <mergeCell ref="AO16:AR16"/>
    <mergeCell ref="C13:E13"/>
    <mergeCell ref="F13:U13"/>
    <mergeCell ref="V13:X13"/>
    <mergeCell ref="Y13:AB13"/>
    <mergeCell ref="AC13:AF13"/>
    <mergeCell ref="AG13:AJ13"/>
    <mergeCell ref="AK13:AN13"/>
    <mergeCell ref="AO13:AR13"/>
    <mergeCell ref="C14:E14"/>
    <mergeCell ref="F14:U14"/>
    <mergeCell ref="V14:X14"/>
    <mergeCell ref="Y14:AB14"/>
    <mergeCell ref="AC14:AF14"/>
    <mergeCell ref="AG14:AJ14"/>
    <mergeCell ref="AK14:AN14"/>
    <mergeCell ref="AO14:AR14"/>
    <mergeCell ref="C11:E11"/>
    <mergeCell ref="F11:U11"/>
    <mergeCell ref="V11:X11"/>
    <mergeCell ref="Y11:AB11"/>
    <mergeCell ref="AC11:AF11"/>
    <mergeCell ref="AG11:AJ11"/>
    <mergeCell ref="AK11:AN11"/>
    <mergeCell ref="AO11:AR11"/>
    <mergeCell ref="C12:E12"/>
    <mergeCell ref="F12:U12"/>
    <mergeCell ref="V12:X12"/>
    <mergeCell ref="Y12:AB12"/>
    <mergeCell ref="AC12:AF12"/>
    <mergeCell ref="AG12:AJ12"/>
    <mergeCell ref="AK12:AN12"/>
    <mergeCell ref="AO12:AR12"/>
    <mergeCell ref="C9:E9"/>
    <mergeCell ref="F9:U9"/>
    <mergeCell ref="V9:X9"/>
    <mergeCell ref="Y9:AB9"/>
    <mergeCell ref="AC9:AF9"/>
    <mergeCell ref="AG9:AJ9"/>
    <mergeCell ref="AK9:AN9"/>
    <mergeCell ref="AO9:AR9"/>
    <mergeCell ref="C10:E10"/>
    <mergeCell ref="F10:U10"/>
    <mergeCell ref="V10:X10"/>
    <mergeCell ref="Y10:AB10"/>
    <mergeCell ref="AC10:AF10"/>
    <mergeCell ref="AG10:AJ10"/>
    <mergeCell ref="AK10:AN10"/>
    <mergeCell ref="AO10:AR10"/>
    <mergeCell ref="C2:AR3"/>
    <mergeCell ref="C4:F5"/>
    <mergeCell ref="G4:J5"/>
    <mergeCell ref="K4:N5"/>
    <mergeCell ref="O4:AK5"/>
    <mergeCell ref="AL4:AO5"/>
    <mergeCell ref="AP4:AR5"/>
    <mergeCell ref="C7:E8"/>
    <mergeCell ref="F7:U8"/>
    <mergeCell ref="V7:X8"/>
    <mergeCell ref="Y7:AF7"/>
    <mergeCell ref="AG7:AN7"/>
    <mergeCell ref="AO7:AR8"/>
    <mergeCell ref="Y8:AB8"/>
    <mergeCell ref="AC8:AF8"/>
    <mergeCell ref="AG8:AJ8"/>
    <mergeCell ref="AK8:AN8"/>
  </mergeCells>
  <printOptions horizontalCentered="1" verticalCentered="1"/>
  <pageMargins left="0.78740157480314965" right="0.59055118110236227" top="0.78740157480314965" bottom="0.39370078740157483" header="0" footer="0"/>
  <pageSetup paperSize="9" scale="51" orientation="portrait" horizontalDpi="4294967294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2:AR368"/>
  <sheetViews>
    <sheetView showGridLines="0" showZeros="0" view="pageBreakPreview" zoomScale="60" zoomScaleNormal="67" workbookViewId="0">
      <selection activeCell="U31" sqref="U31"/>
    </sheetView>
  </sheetViews>
  <sheetFormatPr defaultColWidth="3.7109375" defaultRowHeight="18" customHeight="1"/>
  <cols>
    <col min="1" max="2" width="9.140625" style="7" customWidth="1"/>
    <col min="3" max="5" width="5.42578125" style="7" customWidth="1"/>
    <col min="6" max="20" width="3.7109375" style="7" customWidth="1"/>
    <col min="21" max="21" width="3.42578125" style="7" customWidth="1"/>
    <col min="22" max="29" width="3.7109375" style="7" customWidth="1"/>
    <col min="30" max="30" width="3.5703125" style="7" customWidth="1"/>
    <col min="31" max="31" width="4.7109375" style="7" customWidth="1"/>
    <col min="32" max="32" width="3.85546875" style="7" customWidth="1"/>
    <col min="33" max="33" width="4.28515625" style="7" customWidth="1"/>
    <col min="34" max="36" width="3.85546875" style="7" customWidth="1"/>
    <col min="37" max="40" width="3.42578125" style="7" customWidth="1"/>
    <col min="41" max="16384" width="3.7109375" style="7"/>
  </cols>
  <sheetData>
    <row r="2" spans="3:44" ht="18" customHeight="1">
      <c r="C2" s="850" t="s">
        <v>64</v>
      </c>
      <c r="D2" s="851"/>
      <c r="E2" s="851"/>
      <c r="F2" s="851"/>
      <c r="G2" s="851"/>
      <c r="H2" s="851"/>
      <c r="I2" s="851"/>
      <c r="J2" s="851"/>
      <c r="K2" s="851"/>
      <c r="L2" s="851"/>
      <c r="M2" s="851"/>
      <c r="N2" s="851"/>
      <c r="O2" s="851"/>
      <c r="P2" s="851"/>
      <c r="Q2" s="851"/>
      <c r="R2" s="851"/>
      <c r="S2" s="851"/>
      <c r="T2" s="851"/>
      <c r="U2" s="851"/>
      <c r="V2" s="851"/>
      <c r="W2" s="851"/>
      <c r="X2" s="851"/>
      <c r="Y2" s="851"/>
      <c r="Z2" s="851"/>
      <c r="AA2" s="851"/>
      <c r="AB2" s="851"/>
      <c r="AC2" s="851"/>
      <c r="AD2" s="851"/>
      <c r="AE2" s="851"/>
      <c r="AF2" s="851"/>
      <c r="AG2" s="851"/>
      <c r="AH2" s="851"/>
      <c r="AI2" s="851"/>
      <c r="AJ2" s="851"/>
      <c r="AK2" s="851"/>
      <c r="AL2" s="851"/>
      <c r="AM2" s="851"/>
      <c r="AN2" s="851"/>
      <c r="AO2" s="851"/>
      <c r="AP2" s="851"/>
      <c r="AQ2" s="851"/>
      <c r="AR2" s="852"/>
    </row>
    <row r="3" spans="3:44" ht="18" customHeight="1">
      <c r="C3" s="853"/>
      <c r="D3" s="854"/>
      <c r="E3" s="854"/>
      <c r="F3" s="854"/>
      <c r="G3" s="854"/>
      <c r="H3" s="854"/>
      <c r="I3" s="854"/>
      <c r="J3" s="854"/>
      <c r="K3" s="854"/>
      <c r="L3" s="854"/>
      <c r="M3" s="854"/>
      <c r="N3" s="854"/>
      <c r="O3" s="854"/>
      <c r="P3" s="854"/>
      <c r="Q3" s="854"/>
      <c r="R3" s="854"/>
      <c r="S3" s="854"/>
      <c r="T3" s="854"/>
      <c r="U3" s="854"/>
      <c r="V3" s="854"/>
      <c r="W3" s="854"/>
      <c r="X3" s="854"/>
      <c r="Y3" s="854"/>
      <c r="Z3" s="854"/>
      <c r="AA3" s="854"/>
      <c r="AB3" s="854"/>
      <c r="AC3" s="854"/>
      <c r="AD3" s="854"/>
      <c r="AE3" s="854"/>
      <c r="AF3" s="854"/>
      <c r="AG3" s="854"/>
      <c r="AH3" s="854"/>
      <c r="AI3" s="854"/>
      <c r="AJ3" s="854"/>
      <c r="AK3" s="854"/>
      <c r="AL3" s="854"/>
      <c r="AM3" s="854"/>
      <c r="AN3" s="854"/>
      <c r="AO3" s="854"/>
      <c r="AP3" s="854"/>
      <c r="AQ3" s="854"/>
      <c r="AR3" s="855"/>
    </row>
    <row r="4" spans="3:44" ht="18" customHeight="1">
      <c r="C4" s="856" t="s">
        <v>65</v>
      </c>
      <c r="D4" s="857"/>
      <c r="E4" s="857"/>
      <c r="F4" s="857"/>
      <c r="G4" s="860" t="s">
        <v>284</v>
      </c>
      <c r="H4" s="860"/>
      <c r="I4" s="860"/>
      <c r="J4" s="861"/>
      <c r="K4" s="864" t="s">
        <v>66</v>
      </c>
      <c r="L4" s="865"/>
      <c r="M4" s="865"/>
      <c r="N4" s="865"/>
      <c r="O4" s="522" t="s">
        <v>392</v>
      </c>
      <c r="P4" s="523"/>
      <c r="Q4" s="523"/>
      <c r="R4" s="523"/>
      <c r="S4" s="523"/>
      <c r="T4" s="523"/>
      <c r="U4" s="523"/>
      <c r="V4" s="523"/>
      <c r="W4" s="523"/>
      <c r="X4" s="523"/>
      <c r="Y4" s="523"/>
      <c r="Z4" s="523"/>
      <c r="AA4" s="523"/>
      <c r="AB4" s="523"/>
      <c r="AC4" s="523"/>
      <c r="AD4" s="523"/>
      <c r="AE4" s="523"/>
      <c r="AF4" s="523"/>
      <c r="AG4" s="523"/>
      <c r="AH4" s="523"/>
      <c r="AI4" s="523"/>
      <c r="AJ4" s="523"/>
      <c r="AK4" s="523"/>
      <c r="AL4" s="864" t="s">
        <v>67</v>
      </c>
      <c r="AM4" s="865"/>
      <c r="AN4" s="865"/>
      <c r="AO4" s="865"/>
      <c r="AP4" s="843" t="s">
        <v>189</v>
      </c>
      <c r="AQ4" s="843"/>
      <c r="AR4" s="844"/>
    </row>
    <row r="5" spans="3:44" ht="18" customHeight="1">
      <c r="C5" s="858"/>
      <c r="D5" s="859"/>
      <c r="E5" s="859"/>
      <c r="F5" s="859"/>
      <c r="G5" s="862"/>
      <c r="H5" s="862"/>
      <c r="I5" s="862"/>
      <c r="J5" s="863"/>
      <c r="K5" s="866"/>
      <c r="L5" s="867"/>
      <c r="M5" s="867"/>
      <c r="N5" s="867"/>
      <c r="O5" s="524"/>
      <c r="P5" s="525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  <c r="AC5" s="525"/>
      <c r="AD5" s="525"/>
      <c r="AE5" s="525"/>
      <c r="AF5" s="525"/>
      <c r="AG5" s="525"/>
      <c r="AH5" s="525"/>
      <c r="AI5" s="525"/>
      <c r="AJ5" s="525"/>
      <c r="AK5" s="525"/>
      <c r="AL5" s="866"/>
      <c r="AM5" s="867"/>
      <c r="AN5" s="867"/>
      <c r="AO5" s="867"/>
      <c r="AP5" s="845"/>
      <c r="AQ5" s="845"/>
      <c r="AR5" s="846"/>
    </row>
    <row r="7" spans="3:44" ht="18" customHeight="1">
      <c r="C7" s="794" t="s">
        <v>43</v>
      </c>
      <c r="D7" s="774"/>
      <c r="E7" s="775"/>
      <c r="F7" s="773" t="s">
        <v>68</v>
      </c>
      <c r="G7" s="774"/>
      <c r="H7" s="774"/>
      <c r="I7" s="774"/>
      <c r="J7" s="774"/>
      <c r="K7" s="774"/>
      <c r="L7" s="774"/>
      <c r="M7" s="774"/>
      <c r="N7" s="774"/>
      <c r="O7" s="774"/>
      <c r="P7" s="774"/>
      <c r="Q7" s="774"/>
      <c r="R7" s="774"/>
      <c r="S7" s="774"/>
      <c r="T7" s="774"/>
      <c r="U7" s="775"/>
      <c r="V7" s="773" t="s">
        <v>249</v>
      </c>
      <c r="W7" s="774"/>
      <c r="X7" s="775"/>
      <c r="Y7" s="847" t="s">
        <v>69</v>
      </c>
      <c r="Z7" s="848"/>
      <c r="AA7" s="848"/>
      <c r="AB7" s="848"/>
      <c r="AC7" s="848"/>
      <c r="AD7" s="848"/>
      <c r="AE7" s="848"/>
      <c r="AF7" s="849"/>
      <c r="AG7" s="847" t="s">
        <v>70</v>
      </c>
      <c r="AH7" s="848"/>
      <c r="AI7" s="848"/>
      <c r="AJ7" s="848"/>
      <c r="AK7" s="848"/>
      <c r="AL7" s="848"/>
      <c r="AM7" s="848"/>
      <c r="AN7" s="849"/>
      <c r="AO7" s="773" t="s">
        <v>71</v>
      </c>
      <c r="AP7" s="774"/>
      <c r="AQ7" s="774"/>
      <c r="AR7" s="779"/>
    </row>
    <row r="8" spans="3:44" ht="18" customHeight="1">
      <c r="C8" s="795"/>
      <c r="D8" s="777"/>
      <c r="E8" s="778"/>
      <c r="F8" s="776"/>
      <c r="G8" s="777"/>
      <c r="H8" s="777"/>
      <c r="I8" s="777"/>
      <c r="J8" s="777"/>
      <c r="K8" s="777"/>
      <c r="L8" s="777"/>
      <c r="M8" s="777"/>
      <c r="N8" s="777"/>
      <c r="O8" s="777"/>
      <c r="P8" s="777"/>
      <c r="Q8" s="777"/>
      <c r="R8" s="777"/>
      <c r="S8" s="777"/>
      <c r="T8" s="777"/>
      <c r="U8" s="778"/>
      <c r="V8" s="776"/>
      <c r="W8" s="777"/>
      <c r="X8" s="778"/>
      <c r="Y8" s="834" t="s">
        <v>72</v>
      </c>
      <c r="Z8" s="835"/>
      <c r="AA8" s="835"/>
      <c r="AB8" s="836"/>
      <c r="AC8" s="834" t="s">
        <v>73</v>
      </c>
      <c r="AD8" s="835"/>
      <c r="AE8" s="835"/>
      <c r="AF8" s="836"/>
      <c r="AG8" s="834" t="s">
        <v>72</v>
      </c>
      <c r="AH8" s="835"/>
      <c r="AI8" s="835"/>
      <c r="AJ8" s="836"/>
      <c r="AK8" s="834" t="s">
        <v>73</v>
      </c>
      <c r="AL8" s="835"/>
      <c r="AM8" s="835"/>
      <c r="AN8" s="836"/>
      <c r="AO8" s="776"/>
      <c r="AP8" s="777"/>
      <c r="AQ8" s="777"/>
      <c r="AR8" s="780"/>
    </row>
    <row r="9" spans="3:44" ht="18" customHeight="1">
      <c r="C9" s="781"/>
      <c r="D9" s="782"/>
      <c r="E9" s="783"/>
      <c r="F9" s="493"/>
      <c r="G9" s="493"/>
      <c r="H9" s="493"/>
      <c r="I9" s="493"/>
      <c r="J9" s="493"/>
      <c r="K9" s="493"/>
      <c r="L9" s="493"/>
      <c r="M9" s="493"/>
      <c r="N9" s="493"/>
      <c r="O9" s="493"/>
      <c r="P9" s="493"/>
      <c r="Q9" s="493"/>
      <c r="R9" s="493"/>
      <c r="S9" s="493"/>
      <c r="T9" s="493"/>
      <c r="U9" s="493"/>
      <c r="V9" s="837"/>
      <c r="W9" s="838"/>
      <c r="X9" s="839"/>
      <c r="Y9" s="837"/>
      <c r="Z9" s="838"/>
      <c r="AA9" s="838"/>
      <c r="AB9" s="839"/>
      <c r="AC9" s="868"/>
      <c r="AD9" s="869"/>
      <c r="AE9" s="869"/>
      <c r="AF9" s="870"/>
      <c r="AG9" s="491"/>
      <c r="AH9" s="491"/>
      <c r="AI9" s="491"/>
      <c r="AJ9" s="491"/>
      <c r="AK9" s="491"/>
      <c r="AL9" s="491"/>
      <c r="AM9" s="491"/>
      <c r="AN9" s="491"/>
      <c r="AO9" s="491"/>
      <c r="AP9" s="491"/>
      <c r="AQ9" s="491"/>
      <c r="AR9" s="492"/>
    </row>
    <row r="10" spans="3:44" ht="18" customHeight="1">
      <c r="C10" s="758"/>
      <c r="D10" s="759"/>
      <c r="E10" s="760"/>
      <c r="F10" s="493"/>
      <c r="G10" s="493"/>
      <c r="H10" s="493"/>
      <c r="I10" s="493"/>
      <c r="J10" s="493"/>
      <c r="K10" s="493"/>
      <c r="L10" s="493"/>
      <c r="M10" s="493"/>
      <c r="N10" s="493"/>
      <c r="O10" s="493"/>
      <c r="P10" s="493"/>
      <c r="Q10" s="493"/>
      <c r="R10" s="493"/>
      <c r="S10" s="493"/>
      <c r="T10" s="493"/>
      <c r="U10" s="493"/>
      <c r="V10" s="466"/>
      <c r="W10" s="467"/>
      <c r="X10" s="468"/>
      <c r="Y10" s="466"/>
      <c r="Z10" s="467"/>
      <c r="AA10" s="467"/>
      <c r="AB10" s="468"/>
      <c r="AC10" s="828"/>
      <c r="AD10" s="829"/>
      <c r="AE10" s="829"/>
      <c r="AF10" s="830"/>
      <c r="AG10" s="491"/>
      <c r="AH10" s="491"/>
      <c r="AI10" s="491"/>
      <c r="AJ10" s="491"/>
      <c r="AK10" s="491"/>
      <c r="AL10" s="491"/>
      <c r="AM10" s="491"/>
      <c r="AN10" s="491"/>
      <c r="AO10" s="491"/>
      <c r="AP10" s="491"/>
      <c r="AQ10" s="491"/>
      <c r="AR10" s="492"/>
    </row>
    <row r="11" spans="3:44" ht="18" customHeight="1">
      <c r="C11" s="758"/>
      <c r="D11" s="759"/>
      <c r="E11" s="760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3"/>
      <c r="Q11" s="493"/>
      <c r="R11" s="493"/>
      <c r="S11" s="493"/>
      <c r="T11" s="493"/>
      <c r="U11" s="493"/>
      <c r="V11" s="466"/>
      <c r="W11" s="467"/>
      <c r="X11" s="468"/>
      <c r="Y11" s="466"/>
      <c r="Z11" s="467"/>
      <c r="AA11" s="467"/>
      <c r="AB11" s="468"/>
      <c r="AC11" s="828"/>
      <c r="AD11" s="829"/>
      <c r="AE11" s="829"/>
      <c r="AF11" s="830"/>
      <c r="AG11" s="491"/>
      <c r="AH11" s="491"/>
      <c r="AI11" s="491"/>
      <c r="AJ11" s="491"/>
      <c r="AK11" s="491"/>
      <c r="AL11" s="491"/>
      <c r="AM11" s="491"/>
      <c r="AN11" s="491"/>
      <c r="AO11" s="491"/>
      <c r="AP11" s="491"/>
      <c r="AQ11" s="491"/>
      <c r="AR11" s="492"/>
    </row>
    <row r="12" spans="3:44" ht="18" customHeight="1">
      <c r="C12" s="758"/>
      <c r="D12" s="759"/>
      <c r="E12" s="760"/>
      <c r="F12" s="493"/>
      <c r="G12" s="493"/>
      <c r="H12" s="493"/>
      <c r="I12" s="493"/>
      <c r="J12" s="493"/>
      <c r="K12" s="493"/>
      <c r="L12" s="493"/>
      <c r="M12" s="493"/>
      <c r="N12" s="493"/>
      <c r="O12" s="493"/>
      <c r="P12" s="493"/>
      <c r="Q12" s="493"/>
      <c r="R12" s="493"/>
      <c r="S12" s="493"/>
      <c r="T12" s="493"/>
      <c r="U12" s="493"/>
      <c r="V12" s="466"/>
      <c r="W12" s="467"/>
      <c r="X12" s="468"/>
      <c r="Y12" s="466"/>
      <c r="Z12" s="467"/>
      <c r="AA12" s="467"/>
      <c r="AB12" s="468"/>
      <c r="AC12" s="828"/>
      <c r="AD12" s="829"/>
      <c r="AE12" s="829"/>
      <c r="AF12" s="830"/>
      <c r="AG12" s="491"/>
      <c r="AH12" s="491"/>
      <c r="AI12" s="491"/>
      <c r="AJ12" s="491"/>
      <c r="AK12" s="491"/>
      <c r="AL12" s="491"/>
      <c r="AM12" s="491"/>
      <c r="AN12" s="491"/>
      <c r="AO12" s="491"/>
      <c r="AP12" s="491"/>
      <c r="AQ12" s="491"/>
      <c r="AR12" s="492"/>
    </row>
    <row r="13" spans="3:44" ht="18" customHeight="1">
      <c r="C13" s="758"/>
      <c r="D13" s="759"/>
      <c r="E13" s="760"/>
      <c r="F13" s="493"/>
      <c r="G13" s="493"/>
      <c r="H13" s="493"/>
      <c r="I13" s="493"/>
      <c r="J13" s="493"/>
      <c r="K13" s="493"/>
      <c r="L13" s="493"/>
      <c r="M13" s="493"/>
      <c r="N13" s="493"/>
      <c r="O13" s="493"/>
      <c r="P13" s="493"/>
      <c r="Q13" s="493"/>
      <c r="R13" s="493"/>
      <c r="S13" s="493"/>
      <c r="T13" s="493"/>
      <c r="U13" s="493"/>
      <c r="V13" s="466"/>
      <c r="W13" s="467"/>
      <c r="X13" s="468"/>
      <c r="Y13" s="466"/>
      <c r="Z13" s="467"/>
      <c r="AA13" s="467"/>
      <c r="AB13" s="468"/>
      <c r="AC13" s="828"/>
      <c r="AD13" s="829"/>
      <c r="AE13" s="829"/>
      <c r="AF13" s="830"/>
      <c r="AG13" s="491"/>
      <c r="AH13" s="491"/>
      <c r="AI13" s="491"/>
      <c r="AJ13" s="491"/>
      <c r="AK13" s="491"/>
      <c r="AL13" s="491"/>
      <c r="AM13" s="491"/>
      <c r="AN13" s="491"/>
      <c r="AO13" s="491"/>
      <c r="AP13" s="491"/>
      <c r="AQ13" s="491"/>
      <c r="AR13" s="492"/>
    </row>
    <row r="14" spans="3:44" ht="18" customHeight="1">
      <c r="C14" s="758"/>
      <c r="D14" s="759"/>
      <c r="E14" s="760"/>
      <c r="F14" s="493"/>
      <c r="G14" s="493"/>
      <c r="H14" s="493"/>
      <c r="I14" s="493"/>
      <c r="J14" s="493"/>
      <c r="K14" s="493"/>
      <c r="L14" s="493"/>
      <c r="M14" s="493"/>
      <c r="N14" s="493"/>
      <c r="O14" s="493"/>
      <c r="P14" s="493"/>
      <c r="Q14" s="493"/>
      <c r="R14" s="493"/>
      <c r="S14" s="493"/>
      <c r="T14" s="493"/>
      <c r="U14" s="493"/>
      <c r="V14" s="466"/>
      <c r="W14" s="467"/>
      <c r="X14" s="468"/>
      <c r="Y14" s="466"/>
      <c r="Z14" s="467"/>
      <c r="AA14" s="467"/>
      <c r="AB14" s="468"/>
      <c r="AC14" s="828"/>
      <c r="AD14" s="829"/>
      <c r="AE14" s="829"/>
      <c r="AF14" s="830"/>
      <c r="AG14" s="491"/>
      <c r="AH14" s="491"/>
      <c r="AI14" s="491"/>
      <c r="AJ14" s="491"/>
      <c r="AK14" s="491"/>
      <c r="AL14" s="491"/>
      <c r="AM14" s="491"/>
      <c r="AN14" s="491"/>
      <c r="AO14" s="491"/>
      <c r="AP14" s="491"/>
      <c r="AQ14" s="491"/>
      <c r="AR14" s="492"/>
    </row>
    <row r="15" spans="3:44" ht="18" customHeight="1">
      <c r="C15" s="758"/>
      <c r="D15" s="759"/>
      <c r="E15" s="760"/>
      <c r="F15" s="796"/>
      <c r="G15" s="797"/>
      <c r="H15" s="797"/>
      <c r="I15" s="797"/>
      <c r="J15" s="797"/>
      <c r="K15" s="797"/>
      <c r="L15" s="797"/>
      <c r="M15" s="797"/>
      <c r="N15" s="797"/>
      <c r="O15" s="797"/>
      <c r="P15" s="797"/>
      <c r="Q15" s="797"/>
      <c r="R15" s="797"/>
      <c r="S15" s="797"/>
      <c r="T15" s="797"/>
      <c r="U15" s="798"/>
      <c r="V15" s="466"/>
      <c r="W15" s="467"/>
      <c r="X15" s="468"/>
      <c r="Y15" s="466"/>
      <c r="Z15" s="467"/>
      <c r="AA15" s="467"/>
      <c r="AB15" s="468"/>
      <c r="AC15" s="828"/>
      <c r="AD15" s="829"/>
      <c r="AE15" s="829"/>
      <c r="AF15" s="830"/>
      <c r="AG15" s="466"/>
      <c r="AH15" s="467"/>
      <c r="AI15" s="467"/>
      <c r="AJ15" s="468"/>
      <c r="AK15" s="466"/>
      <c r="AL15" s="467"/>
      <c r="AM15" s="467"/>
      <c r="AN15" s="468"/>
      <c r="AO15" s="466"/>
      <c r="AP15" s="467"/>
      <c r="AQ15" s="467"/>
      <c r="AR15" s="823"/>
    </row>
    <row r="16" spans="3:44" ht="18" customHeight="1">
      <c r="C16" s="758"/>
      <c r="D16" s="759"/>
      <c r="E16" s="760"/>
      <c r="F16" s="796"/>
      <c r="G16" s="797"/>
      <c r="H16" s="797"/>
      <c r="I16" s="797"/>
      <c r="J16" s="797"/>
      <c r="K16" s="797"/>
      <c r="L16" s="797"/>
      <c r="M16" s="797"/>
      <c r="N16" s="797"/>
      <c r="O16" s="797"/>
      <c r="P16" s="797"/>
      <c r="Q16" s="797"/>
      <c r="R16" s="797"/>
      <c r="S16" s="797"/>
      <c r="T16" s="797"/>
      <c r="U16" s="798"/>
      <c r="V16" s="466"/>
      <c r="W16" s="467"/>
      <c r="X16" s="468"/>
      <c r="Y16" s="466"/>
      <c r="Z16" s="467"/>
      <c r="AA16" s="467"/>
      <c r="AB16" s="468"/>
      <c r="AC16" s="828"/>
      <c r="AD16" s="829"/>
      <c r="AE16" s="829"/>
      <c r="AF16" s="830"/>
      <c r="AG16" s="466"/>
      <c r="AH16" s="467"/>
      <c r="AI16" s="467"/>
      <c r="AJ16" s="468"/>
      <c r="AK16" s="466"/>
      <c r="AL16" s="467"/>
      <c r="AM16" s="467"/>
      <c r="AN16" s="468"/>
      <c r="AO16" s="466"/>
      <c r="AP16" s="467"/>
      <c r="AQ16" s="467"/>
      <c r="AR16" s="823"/>
    </row>
    <row r="17" spans="3:44" ht="18" customHeight="1">
      <c r="C17" s="743"/>
      <c r="D17" s="744"/>
      <c r="E17" s="744"/>
      <c r="F17" s="744"/>
      <c r="G17" s="744"/>
      <c r="H17" s="744"/>
      <c r="I17" s="744"/>
      <c r="J17" s="744"/>
      <c r="K17" s="744"/>
      <c r="L17" s="744"/>
      <c r="M17" s="744"/>
      <c r="N17" s="744"/>
      <c r="O17" s="744"/>
      <c r="P17" s="744"/>
      <c r="Q17" s="744"/>
      <c r="R17" s="744"/>
      <c r="S17" s="744"/>
      <c r="T17" s="744"/>
      <c r="U17" s="744"/>
      <c r="V17" s="744"/>
      <c r="W17" s="744"/>
      <c r="X17" s="824"/>
      <c r="Y17" s="825" t="s">
        <v>74</v>
      </c>
      <c r="Z17" s="826"/>
      <c r="AA17" s="826"/>
      <c r="AB17" s="826"/>
      <c r="AC17" s="826"/>
      <c r="AD17" s="826"/>
      <c r="AE17" s="826"/>
      <c r="AF17" s="826"/>
      <c r="AG17" s="826"/>
      <c r="AH17" s="826"/>
      <c r="AI17" s="826"/>
      <c r="AJ17" s="826"/>
      <c r="AK17" s="826"/>
      <c r="AL17" s="826"/>
      <c r="AM17" s="826"/>
      <c r="AN17" s="827"/>
      <c r="AO17" s="477">
        <f>SUM(AO9:AR16)</f>
        <v>0</v>
      </c>
      <c r="AP17" s="746"/>
      <c r="AQ17" s="746"/>
      <c r="AR17" s="747"/>
    </row>
    <row r="19" spans="3:44" ht="18" customHeight="1">
      <c r="C19" s="794" t="s">
        <v>43</v>
      </c>
      <c r="D19" s="774"/>
      <c r="E19" s="775"/>
      <c r="F19" s="773" t="s">
        <v>75</v>
      </c>
      <c r="G19" s="774"/>
      <c r="H19" s="774"/>
      <c r="I19" s="774"/>
      <c r="J19" s="774"/>
      <c r="K19" s="774"/>
      <c r="L19" s="774"/>
      <c r="M19" s="774"/>
      <c r="N19" s="774"/>
      <c r="O19" s="774"/>
      <c r="P19" s="774"/>
      <c r="Q19" s="774"/>
      <c r="R19" s="774"/>
      <c r="S19" s="774"/>
      <c r="T19" s="774"/>
      <c r="U19" s="774"/>
      <c r="V19" s="774"/>
      <c r="W19" s="774"/>
      <c r="X19" s="774"/>
      <c r="Y19" s="774"/>
      <c r="Z19" s="774"/>
      <c r="AA19" s="774"/>
      <c r="AB19" s="775"/>
      <c r="AC19" s="773" t="s">
        <v>76</v>
      </c>
      <c r="AD19" s="774"/>
      <c r="AE19" s="774"/>
      <c r="AF19" s="775"/>
      <c r="AG19" s="773" t="s">
        <v>249</v>
      </c>
      <c r="AH19" s="774"/>
      <c r="AI19" s="774"/>
      <c r="AJ19" s="775"/>
      <c r="AK19" s="773" t="s">
        <v>77</v>
      </c>
      <c r="AL19" s="774"/>
      <c r="AM19" s="774"/>
      <c r="AN19" s="775"/>
      <c r="AO19" s="773" t="s">
        <v>71</v>
      </c>
      <c r="AP19" s="774"/>
      <c r="AQ19" s="774"/>
      <c r="AR19" s="779"/>
    </row>
    <row r="20" spans="3:44" ht="18" customHeight="1">
      <c r="C20" s="795"/>
      <c r="D20" s="777"/>
      <c r="E20" s="778"/>
      <c r="F20" s="776"/>
      <c r="G20" s="777"/>
      <c r="H20" s="777"/>
      <c r="I20" s="777"/>
      <c r="J20" s="777"/>
      <c r="K20" s="777"/>
      <c r="L20" s="777"/>
      <c r="M20" s="777"/>
      <c r="N20" s="777"/>
      <c r="O20" s="777"/>
      <c r="P20" s="777"/>
      <c r="Q20" s="777"/>
      <c r="R20" s="777"/>
      <c r="S20" s="777"/>
      <c r="T20" s="777"/>
      <c r="U20" s="777"/>
      <c r="V20" s="777"/>
      <c r="W20" s="777"/>
      <c r="X20" s="777"/>
      <c r="Y20" s="777"/>
      <c r="Z20" s="777"/>
      <c r="AA20" s="777"/>
      <c r="AB20" s="778"/>
      <c r="AC20" s="776"/>
      <c r="AD20" s="777"/>
      <c r="AE20" s="777"/>
      <c r="AF20" s="778"/>
      <c r="AG20" s="776"/>
      <c r="AH20" s="777"/>
      <c r="AI20" s="777"/>
      <c r="AJ20" s="778"/>
      <c r="AK20" s="776"/>
      <c r="AL20" s="777"/>
      <c r="AM20" s="777"/>
      <c r="AN20" s="778"/>
      <c r="AO20" s="776"/>
      <c r="AP20" s="777"/>
      <c r="AQ20" s="777"/>
      <c r="AR20" s="780"/>
    </row>
    <row r="21" spans="3:44" ht="18" customHeight="1">
      <c r="C21" s="781" t="s">
        <v>940</v>
      </c>
      <c r="D21" s="782"/>
      <c r="E21" s="783"/>
      <c r="F21" s="493" t="s">
        <v>105</v>
      </c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770"/>
      <c r="AD21" s="771"/>
      <c r="AE21" s="771"/>
      <c r="AF21" s="790"/>
      <c r="AG21" s="770">
        <v>1</v>
      </c>
      <c r="AH21" s="771"/>
      <c r="AI21" s="771"/>
      <c r="AJ21" s="790"/>
      <c r="AK21" s="449">
        <f>VLOOKUP(C21,[4]MÃODEOBRA!A$1:D$65536,4,FALSE)</f>
        <v>22.98488</v>
      </c>
      <c r="AL21" s="449"/>
      <c r="AM21" s="449"/>
      <c r="AN21" s="449"/>
      <c r="AO21" s="491">
        <f>ROUND(AG21*AK21,2)</f>
        <v>22.98</v>
      </c>
      <c r="AP21" s="491"/>
      <c r="AQ21" s="491"/>
      <c r="AR21" s="492"/>
    </row>
    <row r="22" spans="3:44" ht="18" customHeight="1">
      <c r="C22" s="758" t="s">
        <v>1375</v>
      </c>
      <c r="D22" s="759"/>
      <c r="E22" s="760"/>
      <c r="F22" s="493" t="s">
        <v>106</v>
      </c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740"/>
      <c r="AD22" s="741"/>
      <c r="AE22" s="741"/>
      <c r="AF22" s="757"/>
      <c r="AG22" s="740">
        <v>3</v>
      </c>
      <c r="AH22" s="741"/>
      <c r="AI22" s="741"/>
      <c r="AJ22" s="757"/>
      <c r="AK22" s="449">
        <f>VLOOKUP(C22,[4]MÃODEOBRA!A$1:D$65536,4,FALSE)</f>
        <v>7.90456</v>
      </c>
      <c r="AL22" s="449"/>
      <c r="AM22" s="449"/>
      <c r="AN22" s="449"/>
      <c r="AO22" s="491">
        <f>ROUND(AG22*AK22,2)</f>
        <v>23.71</v>
      </c>
      <c r="AP22" s="491"/>
      <c r="AQ22" s="491"/>
      <c r="AR22" s="492"/>
    </row>
    <row r="23" spans="3:44" ht="18" customHeight="1">
      <c r="C23" s="758"/>
      <c r="D23" s="759"/>
      <c r="E23" s="760"/>
      <c r="F23" s="796"/>
      <c r="G23" s="797"/>
      <c r="H23" s="797"/>
      <c r="I23" s="797"/>
      <c r="J23" s="797"/>
      <c r="K23" s="797"/>
      <c r="L23" s="797"/>
      <c r="M23" s="797"/>
      <c r="N23" s="797"/>
      <c r="O23" s="797"/>
      <c r="P23" s="797"/>
      <c r="Q23" s="797"/>
      <c r="R23" s="797"/>
      <c r="S23" s="797"/>
      <c r="T23" s="797"/>
      <c r="U23" s="797"/>
      <c r="V23" s="797"/>
      <c r="W23" s="797"/>
      <c r="X23" s="797"/>
      <c r="Y23" s="797"/>
      <c r="Z23" s="797"/>
      <c r="AA23" s="797"/>
      <c r="AB23" s="798"/>
      <c r="AC23" s="740"/>
      <c r="AD23" s="741"/>
      <c r="AE23" s="741"/>
      <c r="AF23" s="757"/>
      <c r="AG23" s="740"/>
      <c r="AH23" s="741"/>
      <c r="AI23" s="741"/>
      <c r="AJ23" s="757"/>
      <c r="AK23" s="740"/>
      <c r="AL23" s="741"/>
      <c r="AM23" s="741"/>
      <c r="AN23" s="757"/>
      <c r="AO23" s="466"/>
      <c r="AP23" s="467"/>
      <c r="AQ23" s="467"/>
      <c r="AR23" s="823"/>
    </row>
    <row r="24" spans="3:44" ht="18" customHeight="1">
      <c r="C24" s="758"/>
      <c r="D24" s="759"/>
      <c r="E24" s="760"/>
      <c r="F24" s="796"/>
      <c r="G24" s="797"/>
      <c r="H24" s="797"/>
      <c r="I24" s="797"/>
      <c r="J24" s="797"/>
      <c r="K24" s="797"/>
      <c r="L24" s="797"/>
      <c r="M24" s="797"/>
      <c r="N24" s="797"/>
      <c r="O24" s="797"/>
      <c r="P24" s="797"/>
      <c r="Q24" s="797"/>
      <c r="R24" s="797"/>
      <c r="S24" s="797"/>
      <c r="T24" s="797"/>
      <c r="U24" s="797"/>
      <c r="V24" s="797"/>
      <c r="W24" s="797"/>
      <c r="X24" s="797"/>
      <c r="Y24" s="797"/>
      <c r="Z24" s="797"/>
      <c r="AA24" s="797"/>
      <c r="AB24" s="798"/>
      <c r="AC24" s="740"/>
      <c r="AD24" s="741"/>
      <c r="AE24" s="741"/>
      <c r="AF24" s="757"/>
      <c r="AG24" s="740"/>
      <c r="AH24" s="741"/>
      <c r="AI24" s="741"/>
      <c r="AJ24" s="757"/>
      <c r="AK24" s="740"/>
      <c r="AL24" s="741"/>
      <c r="AM24" s="741"/>
      <c r="AN24" s="757"/>
      <c r="AO24" s="466"/>
      <c r="AP24" s="467"/>
      <c r="AQ24" s="467"/>
      <c r="AR24" s="823"/>
    </row>
    <row r="25" spans="3:44" ht="18" customHeight="1">
      <c r="C25" s="758"/>
      <c r="D25" s="759"/>
      <c r="E25" s="760"/>
      <c r="F25" s="796"/>
      <c r="G25" s="797"/>
      <c r="H25" s="797"/>
      <c r="I25" s="797"/>
      <c r="J25" s="797"/>
      <c r="K25" s="797"/>
      <c r="L25" s="797"/>
      <c r="M25" s="797"/>
      <c r="N25" s="797"/>
      <c r="O25" s="797"/>
      <c r="P25" s="797"/>
      <c r="Q25" s="797"/>
      <c r="R25" s="797"/>
      <c r="S25" s="797"/>
      <c r="T25" s="797"/>
      <c r="U25" s="797"/>
      <c r="V25" s="797"/>
      <c r="W25" s="797"/>
      <c r="X25" s="797"/>
      <c r="Y25" s="797"/>
      <c r="Z25" s="797"/>
      <c r="AA25" s="797"/>
      <c r="AB25" s="798"/>
      <c r="AC25" s="740"/>
      <c r="AD25" s="741"/>
      <c r="AE25" s="741"/>
      <c r="AF25" s="757"/>
      <c r="AG25" s="740"/>
      <c r="AH25" s="741"/>
      <c r="AI25" s="741"/>
      <c r="AJ25" s="757"/>
      <c r="AK25" s="740"/>
      <c r="AL25" s="741"/>
      <c r="AM25" s="741"/>
      <c r="AN25" s="757"/>
      <c r="AO25" s="466"/>
      <c r="AP25" s="467"/>
      <c r="AQ25" s="467"/>
      <c r="AR25" s="823"/>
    </row>
    <row r="26" spans="3:44" ht="18" customHeight="1">
      <c r="C26" s="758"/>
      <c r="D26" s="759"/>
      <c r="E26" s="760"/>
      <c r="F26" s="796"/>
      <c r="G26" s="797"/>
      <c r="H26" s="797"/>
      <c r="I26" s="797"/>
      <c r="J26" s="797"/>
      <c r="K26" s="797"/>
      <c r="L26" s="797"/>
      <c r="M26" s="797"/>
      <c r="N26" s="797"/>
      <c r="O26" s="797"/>
      <c r="P26" s="797"/>
      <c r="Q26" s="797"/>
      <c r="R26" s="797"/>
      <c r="S26" s="797"/>
      <c r="T26" s="797"/>
      <c r="U26" s="797"/>
      <c r="V26" s="797"/>
      <c r="W26" s="797"/>
      <c r="X26" s="797"/>
      <c r="Y26" s="797"/>
      <c r="Z26" s="797"/>
      <c r="AA26" s="797"/>
      <c r="AB26" s="798"/>
      <c r="AC26" s="740"/>
      <c r="AD26" s="741"/>
      <c r="AE26" s="741"/>
      <c r="AF26" s="757"/>
      <c r="AG26" s="740"/>
      <c r="AH26" s="741"/>
      <c r="AI26" s="741"/>
      <c r="AJ26" s="757"/>
      <c r="AK26" s="740"/>
      <c r="AL26" s="741"/>
      <c r="AM26" s="741"/>
      <c r="AN26" s="757"/>
      <c r="AO26" s="466"/>
      <c r="AP26" s="467"/>
      <c r="AQ26" s="467"/>
      <c r="AR26" s="823"/>
    </row>
    <row r="27" spans="3:44" ht="18" customHeight="1">
      <c r="C27" s="758"/>
      <c r="D27" s="759"/>
      <c r="E27" s="760"/>
      <c r="F27" s="796"/>
      <c r="G27" s="797"/>
      <c r="H27" s="797"/>
      <c r="I27" s="797"/>
      <c r="J27" s="797"/>
      <c r="K27" s="797"/>
      <c r="L27" s="797"/>
      <c r="M27" s="797"/>
      <c r="N27" s="797"/>
      <c r="O27" s="797"/>
      <c r="P27" s="797"/>
      <c r="Q27" s="797"/>
      <c r="R27" s="797"/>
      <c r="S27" s="797"/>
      <c r="T27" s="797"/>
      <c r="U27" s="797"/>
      <c r="V27" s="797"/>
      <c r="W27" s="797"/>
      <c r="X27" s="797"/>
      <c r="Y27" s="797"/>
      <c r="Z27" s="797"/>
      <c r="AA27" s="797"/>
      <c r="AB27" s="798"/>
      <c r="AC27" s="740"/>
      <c r="AD27" s="741"/>
      <c r="AE27" s="741"/>
      <c r="AF27" s="757"/>
      <c r="AG27" s="740"/>
      <c r="AH27" s="741"/>
      <c r="AI27" s="741"/>
      <c r="AJ27" s="757"/>
      <c r="AK27" s="740"/>
      <c r="AL27" s="741"/>
      <c r="AM27" s="741"/>
      <c r="AN27" s="757"/>
      <c r="AO27" s="466"/>
      <c r="AP27" s="467"/>
      <c r="AQ27" s="467"/>
      <c r="AR27" s="823"/>
    </row>
    <row r="28" spans="3:44" ht="18" customHeight="1">
      <c r="C28" s="758"/>
      <c r="D28" s="759"/>
      <c r="E28" s="760"/>
      <c r="F28" s="796"/>
      <c r="G28" s="797"/>
      <c r="H28" s="797"/>
      <c r="I28" s="797"/>
      <c r="J28" s="797"/>
      <c r="K28" s="797"/>
      <c r="L28" s="797"/>
      <c r="M28" s="797"/>
      <c r="N28" s="797"/>
      <c r="O28" s="797"/>
      <c r="P28" s="797"/>
      <c r="Q28" s="797"/>
      <c r="R28" s="797"/>
      <c r="S28" s="797"/>
      <c r="T28" s="797"/>
      <c r="U28" s="797"/>
      <c r="V28" s="797"/>
      <c r="W28" s="797"/>
      <c r="X28" s="797"/>
      <c r="Y28" s="797"/>
      <c r="Z28" s="797"/>
      <c r="AA28" s="797"/>
      <c r="AB28" s="798"/>
      <c r="AC28" s="740"/>
      <c r="AD28" s="741"/>
      <c r="AE28" s="741"/>
      <c r="AF28" s="757"/>
      <c r="AG28" s="740"/>
      <c r="AH28" s="741"/>
      <c r="AI28" s="741"/>
      <c r="AJ28" s="757"/>
      <c r="AK28" s="740"/>
      <c r="AL28" s="741"/>
      <c r="AM28" s="741"/>
      <c r="AN28" s="757"/>
      <c r="AO28" s="466"/>
      <c r="AP28" s="467"/>
      <c r="AQ28" s="467"/>
      <c r="AR28" s="823"/>
    </row>
    <row r="29" spans="3:44" ht="18" customHeight="1">
      <c r="C29" s="814"/>
      <c r="D29" s="815"/>
      <c r="E29" s="815"/>
      <c r="F29" s="815"/>
      <c r="G29" s="815"/>
      <c r="H29" s="815"/>
      <c r="I29" s="815"/>
      <c r="J29" s="815"/>
      <c r="K29" s="815"/>
      <c r="L29" s="815"/>
      <c r="M29" s="815"/>
      <c r="N29" s="815"/>
      <c r="O29" s="815"/>
      <c r="P29" s="815"/>
      <c r="Q29" s="815"/>
      <c r="R29" s="815"/>
      <c r="S29" s="815"/>
      <c r="T29" s="815"/>
      <c r="U29" s="815"/>
      <c r="V29" s="815"/>
      <c r="W29" s="815"/>
      <c r="X29" s="815"/>
      <c r="Y29" s="816" t="s">
        <v>78</v>
      </c>
      <c r="Z29" s="816"/>
      <c r="AA29" s="816"/>
      <c r="AB29" s="816"/>
      <c r="AC29" s="816"/>
      <c r="AD29" s="816"/>
      <c r="AE29" s="816"/>
      <c r="AF29" s="483"/>
      <c r="AG29" s="817" t="s">
        <v>267</v>
      </c>
      <c r="AH29" s="818"/>
      <c r="AI29" s="818"/>
      <c r="AJ29" s="819"/>
      <c r="AK29" s="466">
        <f>SUM(AO21:AR28)</f>
        <v>46.69</v>
      </c>
      <c r="AL29" s="467"/>
      <c r="AM29" s="467"/>
      <c r="AN29" s="468"/>
      <c r="AO29" s="820">
        <f>ROUND(AG29*AK29,2)</f>
        <v>9.58</v>
      </c>
      <c r="AP29" s="821"/>
      <c r="AQ29" s="821"/>
      <c r="AR29" s="822"/>
    </row>
    <row r="30" spans="3:44" ht="18" customHeight="1">
      <c r="C30" s="743"/>
      <c r="D30" s="744"/>
      <c r="E30" s="744"/>
      <c r="F30" s="744"/>
      <c r="G30" s="744"/>
      <c r="H30" s="744"/>
      <c r="I30" s="744"/>
      <c r="J30" s="744"/>
      <c r="K30" s="744"/>
      <c r="L30" s="744"/>
      <c r="M30" s="744"/>
      <c r="N30" s="744"/>
      <c r="O30" s="744"/>
      <c r="P30" s="744"/>
      <c r="Q30" s="744"/>
      <c r="R30" s="744"/>
      <c r="S30" s="744"/>
      <c r="T30" s="744"/>
      <c r="U30" s="744"/>
      <c r="V30" s="744"/>
      <c r="W30" s="744"/>
      <c r="X30" s="744"/>
      <c r="Y30" s="745" t="s">
        <v>79</v>
      </c>
      <c r="Z30" s="745"/>
      <c r="AA30" s="745"/>
      <c r="AB30" s="745"/>
      <c r="AC30" s="745"/>
      <c r="AD30" s="745"/>
      <c r="AE30" s="745"/>
      <c r="AF30" s="745"/>
      <c r="AG30" s="745"/>
      <c r="AH30" s="745"/>
      <c r="AI30" s="745"/>
      <c r="AJ30" s="745"/>
      <c r="AK30" s="745"/>
      <c r="AL30" s="745"/>
      <c r="AM30" s="745"/>
      <c r="AN30" s="430"/>
      <c r="AO30" s="477">
        <f>SUM(AO21:AR29)</f>
        <v>56.269999999999996</v>
      </c>
      <c r="AP30" s="746"/>
      <c r="AQ30" s="746"/>
      <c r="AR30" s="747"/>
    </row>
    <row r="32" spans="3:44" ht="18" customHeight="1">
      <c r="C32" s="802"/>
      <c r="D32" s="803"/>
      <c r="E32" s="803"/>
      <c r="F32" s="803"/>
      <c r="G32" s="803"/>
      <c r="H32" s="803"/>
      <c r="I32" s="803"/>
      <c r="J32" s="803"/>
      <c r="K32" s="803"/>
      <c r="L32" s="803"/>
      <c r="M32" s="803"/>
      <c r="N32" s="803"/>
      <c r="O32" s="803"/>
      <c r="P32" s="803"/>
      <c r="Q32" s="803"/>
      <c r="R32" s="803"/>
      <c r="S32" s="803"/>
      <c r="T32" s="803"/>
      <c r="U32" s="803"/>
      <c r="V32" s="803"/>
      <c r="W32" s="803"/>
      <c r="X32" s="803"/>
      <c r="Y32" s="804" t="s">
        <v>80</v>
      </c>
      <c r="Z32" s="805"/>
      <c r="AA32" s="805"/>
      <c r="AB32" s="805"/>
      <c r="AC32" s="805"/>
      <c r="AD32" s="805"/>
      <c r="AE32" s="805"/>
      <c r="AF32" s="805"/>
      <c r="AG32" s="805"/>
      <c r="AH32" s="805"/>
      <c r="AI32" s="805"/>
      <c r="AJ32" s="805"/>
      <c r="AK32" s="805"/>
      <c r="AL32" s="805"/>
      <c r="AM32" s="805"/>
      <c r="AN32" s="806"/>
      <c r="AO32" s="807">
        <f>AO17+AO30</f>
        <v>56.269999999999996</v>
      </c>
      <c r="AP32" s="808"/>
      <c r="AQ32" s="808"/>
      <c r="AR32" s="809"/>
    </row>
    <row r="33" spans="3:44" ht="18" customHeight="1">
      <c r="C33" s="810" t="s">
        <v>81</v>
      </c>
      <c r="D33" s="745"/>
      <c r="E33" s="745"/>
      <c r="F33" s="745"/>
      <c r="G33" s="745"/>
      <c r="H33" s="745"/>
      <c r="I33" s="745"/>
      <c r="J33" s="745"/>
      <c r="K33" s="745"/>
      <c r="L33" s="745"/>
      <c r="M33" s="745"/>
      <c r="N33" s="745"/>
      <c r="O33" s="745"/>
      <c r="P33" s="430"/>
      <c r="Q33" s="477">
        <v>200</v>
      </c>
      <c r="R33" s="746"/>
      <c r="S33" s="746"/>
      <c r="T33" s="746"/>
      <c r="U33" s="746"/>
      <c r="V33" s="745" t="s">
        <v>189</v>
      </c>
      <c r="W33" s="745"/>
      <c r="X33" s="430"/>
      <c r="Y33" s="804" t="s">
        <v>82</v>
      </c>
      <c r="Z33" s="805"/>
      <c r="AA33" s="805"/>
      <c r="AB33" s="805"/>
      <c r="AC33" s="805"/>
      <c r="AD33" s="805"/>
      <c r="AE33" s="805"/>
      <c r="AF33" s="805"/>
      <c r="AG33" s="805"/>
      <c r="AH33" s="805"/>
      <c r="AI33" s="805"/>
      <c r="AJ33" s="805"/>
      <c r="AK33" s="805"/>
      <c r="AL33" s="805"/>
      <c r="AM33" s="805"/>
      <c r="AN33" s="806"/>
      <c r="AO33" s="811">
        <f>ROUND(AO32/Q33,2)</f>
        <v>0.28000000000000003</v>
      </c>
      <c r="AP33" s="812"/>
      <c r="AQ33" s="812"/>
      <c r="AR33" s="813"/>
    </row>
    <row r="35" spans="3:44" ht="18" customHeight="1">
      <c r="C35" s="794" t="s">
        <v>43</v>
      </c>
      <c r="D35" s="774"/>
      <c r="E35" s="775"/>
      <c r="F35" s="773" t="s">
        <v>83</v>
      </c>
      <c r="G35" s="774"/>
      <c r="H35" s="774"/>
      <c r="I35" s="774"/>
      <c r="J35" s="774"/>
      <c r="K35" s="774"/>
      <c r="L35" s="774"/>
      <c r="M35" s="774"/>
      <c r="N35" s="774"/>
      <c r="O35" s="774"/>
      <c r="P35" s="774"/>
      <c r="Q35" s="774"/>
      <c r="R35" s="774"/>
      <c r="S35" s="774"/>
      <c r="T35" s="774"/>
      <c r="U35" s="774"/>
      <c r="V35" s="774"/>
      <c r="W35" s="774"/>
      <c r="X35" s="774"/>
      <c r="Y35" s="774"/>
      <c r="Z35" s="774"/>
      <c r="AA35" s="774"/>
      <c r="AB35" s="775"/>
      <c r="AC35" s="773" t="s">
        <v>84</v>
      </c>
      <c r="AD35" s="774"/>
      <c r="AE35" s="774"/>
      <c r="AF35" s="775"/>
      <c r="AG35" s="773" t="s">
        <v>85</v>
      </c>
      <c r="AH35" s="774"/>
      <c r="AI35" s="774"/>
      <c r="AJ35" s="775"/>
      <c r="AK35" s="773" t="s">
        <v>86</v>
      </c>
      <c r="AL35" s="774"/>
      <c r="AM35" s="774"/>
      <c r="AN35" s="775"/>
      <c r="AO35" s="773" t="s">
        <v>87</v>
      </c>
      <c r="AP35" s="774"/>
      <c r="AQ35" s="774"/>
      <c r="AR35" s="779"/>
    </row>
    <row r="36" spans="3:44" ht="18" customHeight="1">
      <c r="C36" s="795"/>
      <c r="D36" s="777"/>
      <c r="E36" s="778"/>
      <c r="F36" s="776"/>
      <c r="G36" s="777"/>
      <c r="H36" s="777"/>
      <c r="I36" s="777"/>
      <c r="J36" s="777"/>
      <c r="K36" s="777"/>
      <c r="L36" s="777"/>
      <c r="M36" s="777"/>
      <c r="N36" s="777"/>
      <c r="O36" s="777"/>
      <c r="P36" s="777"/>
      <c r="Q36" s="777"/>
      <c r="R36" s="777"/>
      <c r="S36" s="777"/>
      <c r="T36" s="777"/>
      <c r="U36" s="777"/>
      <c r="V36" s="777"/>
      <c r="W36" s="777"/>
      <c r="X36" s="777"/>
      <c r="Y36" s="777"/>
      <c r="Z36" s="777"/>
      <c r="AA36" s="777"/>
      <c r="AB36" s="778"/>
      <c r="AC36" s="776"/>
      <c r="AD36" s="777"/>
      <c r="AE36" s="777"/>
      <c r="AF36" s="778"/>
      <c r="AG36" s="776"/>
      <c r="AH36" s="777"/>
      <c r="AI36" s="777"/>
      <c r="AJ36" s="778"/>
      <c r="AK36" s="776"/>
      <c r="AL36" s="777"/>
      <c r="AM36" s="777"/>
      <c r="AN36" s="778"/>
      <c r="AO36" s="776"/>
      <c r="AP36" s="777"/>
      <c r="AQ36" s="777"/>
      <c r="AR36" s="780"/>
    </row>
    <row r="37" spans="3:44" ht="18" customHeight="1">
      <c r="C37" s="781" t="s">
        <v>365</v>
      </c>
      <c r="D37" s="782"/>
      <c r="E37" s="783"/>
      <c r="F37" s="493" t="s">
        <v>360</v>
      </c>
      <c r="G37" s="493"/>
      <c r="H37" s="493"/>
      <c r="I37" s="493"/>
      <c r="J37" s="493"/>
      <c r="K37" s="493"/>
      <c r="L37" s="493"/>
      <c r="M37" s="493"/>
      <c r="N37" s="493"/>
      <c r="O37" s="493"/>
      <c r="P37" s="493"/>
      <c r="Q37" s="493"/>
      <c r="R37" s="493"/>
      <c r="S37" s="493"/>
      <c r="T37" s="493"/>
      <c r="U37" s="493"/>
      <c r="V37" s="493"/>
      <c r="W37" s="493"/>
      <c r="X37" s="493"/>
      <c r="Y37" s="493"/>
      <c r="Z37" s="493"/>
      <c r="AA37" s="493"/>
      <c r="AB37" s="493"/>
      <c r="AC37" s="471" t="s">
        <v>309</v>
      </c>
      <c r="AD37" s="803"/>
      <c r="AE37" s="803"/>
      <c r="AF37" s="871"/>
      <c r="AG37" s="491">
        <v>1.84</v>
      </c>
      <c r="AH37" s="491"/>
      <c r="AI37" s="491"/>
      <c r="AJ37" s="491"/>
      <c r="AK37" s="791">
        <v>0.23</v>
      </c>
      <c r="AL37" s="792"/>
      <c r="AM37" s="792"/>
      <c r="AN37" s="793"/>
      <c r="AO37" s="449">
        <f>ROUND(AG37*AK37,2)</f>
        <v>0.42</v>
      </c>
      <c r="AP37" s="449"/>
      <c r="AQ37" s="449"/>
      <c r="AR37" s="450"/>
    </row>
    <row r="38" spans="3:44" ht="18" customHeight="1">
      <c r="C38" s="758"/>
      <c r="D38" s="759"/>
      <c r="E38" s="760"/>
      <c r="F38" s="796" t="s">
        <v>359</v>
      </c>
      <c r="G38" s="797"/>
      <c r="H38" s="797"/>
      <c r="I38" s="797"/>
      <c r="J38" s="797"/>
      <c r="K38" s="797"/>
      <c r="L38" s="797"/>
      <c r="M38" s="797"/>
      <c r="N38" s="797"/>
      <c r="O38" s="797"/>
      <c r="P38" s="797"/>
      <c r="Q38" s="797"/>
      <c r="R38" s="797"/>
      <c r="S38" s="797"/>
      <c r="T38" s="797"/>
      <c r="U38" s="797"/>
      <c r="V38" s="797"/>
      <c r="W38" s="797"/>
      <c r="X38" s="797"/>
      <c r="Y38" s="797"/>
      <c r="Z38" s="797"/>
      <c r="AA38" s="797"/>
      <c r="AB38" s="798"/>
      <c r="AC38" s="799" t="s">
        <v>246</v>
      </c>
      <c r="AD38" s="800"/>
      <c r="AE38" s="800"/>
      <c r="AF38" s="801"/>
      <c r="AG38" s="466">
        <v>60</v>
      </c>
      <c r="AH38" s="467"/>
      <c r="AI38" s="467"/>
      <c r="AJ38" s="468"/>
      <c r="AK38" s="737">
        <v>0.15</v>
      </c>
      <c r="AL38" s="738"/>
      <c r="AM38" s="738"/>
      <c r="AN38" s="739"/>
      <c r="AO38" s="449">
        <f>ROUND(AG38*AK38,2)</f>
        <v>9</v>
      </c>
      <c r="AP38" s="449"/>
      <c r="AQ38" s="449"/>
      <c r="AR38" s="450"/>
    </row>
    <row r="39" spans="3:44" ht="18" customHeight="1">
      <c r="C39" s="758"/>
      <c r="D39" s="759"/>
      <c r="E39" s="760"/>
      <c r="F39" s="796">
        <v>0</v>
      </c>
      <c r="G39" s="797"/>
      <c r="H39" s="797"/>
      <c r="I39" s="797"/>
      <c r="J39" s="797"/>
      <c r="K39" s="797"/>
      <c r="L39" s="797"/>
      <c r="M39" s="797"/>
      <c r="N39" s="797"/>
      <c r="O39" s="797"/>
      <c r="P39" s="797"/>
      <c r="Q39" s="797"/>
      <c r="R39" s="797"/>
      <c r="S39" s="797"/>
      <c r="T39" s="797"/>
      <c r="U39" s="797"/>
      <c r="V39" s="797"/>
      <c r="W39" s="797"/>
      <c r="X39" s="797"/>
      <c r="Y39" s="797"/>
      <c r="Z39" s="797"/>
      <c r="AA39" s="797"/>
      <c r="AB39" s="798"/>
      <c r="AC39" s="799">
        <v>0</v>
      </c>
      <c r="AD39" s="800"/>
      <c r="AE39" s="800"/>
      <c r="AF39" s="801"/>
      <c r="AG39" s="466">
        <v>0</v>
      </c>
      <c r="AH39" s="467"/>
      <c r="AI39" s="467"/>
      <c r="AJ39" s="468"/>
      <c r="AK39" s="737"/>
      <c r="AL39" s="738"/>
      <c r="AM39" s="738"/>
      <c r="AN39" s="739"/>
      <c r="AO39" s="740">
        <f>ROUND(AG39*AK39,2)</f>
        <v>0</v>
      </c>
      <c r="AP39" s="741"/>
      <c r="AQ39" s="741"/>
      <c r="AR39" s="742"/>
    </row>
    <row r="40" spans="3:44" ht="18" customHeight="1">
      <c r="C40" s="758"/>
      <c r="D40" s="759"/>
      <c r="E40" s="760"/>
      <c r="F40" s="796">
        <v>0</v>
      </c>
      <c r="G40" s="797"/>
      <c r="H40" s="797"/>
      <c r="I40" s="797"/>
      <c r="J40" s="797"/>
      <c r="K40" s="797"/>
      <c r="L40" s="797"/>
      <c r="M40" s="797"/>
      <c r="N40" s="797"/>
      <c r="O40" s="797"/>
      <c r="P40" s="797"/>
      <c r="Q40" s="797"/>
      <c r="R40" s="797"/>
      <c r="S40" s="797"/>
      <c r="T40" s="797"/>
      <c r="U40" s="797"/>
      <c r="V40" s="797"/>
      <c r="W40" s="797"/>
      <c r="X40" s="797"/>
      <c r="Y40" s="797"/>
      <c r="Z40" s="797"/>
      <c r="AA40" s="797"/>
      <c r="AB40" s="798"/>
      <c r="AC40" s="799">
        <v>0</v>
      </c>
      <c r="AD40" s="800"/>
      <c r="AE40" s="800"/>
      <c r="AF40" s="801"/>
      <c r="AG40" s="466">
        <v>0</v>
      </c>
      <c r="AH40" s="467"/>
      <c r="AI40" s="467"/>
      <c r="AJ40" s="468"/>
      <c r="AK40" s="737"/>
      <c r="AL40" s="738"/>
      <c r="AM40" s="738"/>
      <c r="AN40" s="739"/>
      <c r="AO40" s="740">
        <f>ROUND(AG40*AK40,2)</f>
        <v>0</v>
      </c>
      <c r="AP40" s="741"/>
      <c r="AQ40" s="741"/>
      <c r="AR40" s="742"/>
    </row>
    <row r="41" spans="3:44" ht="18" customHeight="1">
      <c r="C41" s="758"/>
      <c r="D41" s="759"/>
      <c r="E41" s="760"/>
      <c r="F41" s="796">
        <v>0</v>
      </c>
      <c r="G41" s="797"/>
      <c r="H41" s="797"/>
      <c r="I41" s="797"/>
      <c r="J41" s="797"/>
      <c r="K41" s="797"/>
      <c r="L41" s="797"/>
      <c r="M41" s="797"/>
      <c r="N41" s="797"/>
      <c r="O41" s="797"/>
      <c r="P41" s="797"/>
      <c r="Q41" s="797"/>
      <c r="R41" s="797"/>
      <c r="S41" s="797"/>
      <c r="T41" s="797"/>
      <c r="U41" s="797"/>
      <c r="V41" s="797"/>
      <c r="W41" s="797"/>
      <c r="X41" s="797"/>
      <c r="Y41" s="797"/>
      <c r="Z41" s="797"/>
      <c r="AA41" s="797"/>
      <c r="AB41" s="798"/>
      <c r="AC41" s="799">
        <v>0</v>
      </c>
      <c r="AD41" s="800"/>
      <c r="AE41" s="800"/>
      <c r="AF41" s="801"/>
      <c r="AG41" s="466">
        <v>0</v>
      </c>
      <c r="AH41" s="467"/>
      <c r="AI41" s="467"/>
      <c r="AJ41" s="468"/>
      <c r="AK41" s="737"/>
      <c r="AL41" s="738"/>
      <c r="AM41" s="738"/>
      <c r="AN41" s="739"/>
      <c r="AO41" s="740">
        <f>ROUND(AG41*AK41,2)</f>
        <v>0</v>
      </c>
      <c r="AP41" s="741"/>
      <c r="AQ41" s="741"/>
      <c r="AR41" s="742"/>
    </row>
    <row r="42" spans="3:44" ht="18" customHeight="1">
      <c r="C42" s="758"/>
      <c r="D42" s="759"/>
      <c r="E42" s="760"/>
      <c r="F42" s="796"/>
      <c r="G42" s="797"/>
      <c r="H42" s="797"/>
      <c r="I42" s="797"/>
      <c r="J42" s="797"/>
      <c r="K42" s="797"/>
      <c r="L42" s="797"/>
      <c r="M42" s="797"/>
      <c r="N42" s="797"/>
      <c r="O42" s="797"/>
      <c r="P42" s="797"/>
      <c r="Q42" s="797"/>
      <c r="R42" s="797"/>
      <c r="S42" s="797"/>
      <c r="T42" s="797"/>
      <c r="U42" s="797"/>
      <c r="V42" s="797"/>
      <c r="W42" s="797"/>
      <c r="X42" s="797"/>
      <c r="Y42" s="797"/>
      <c r="Z42" s="797"/>
      <c r="AA42" s="797"/>
      <c r="AB42" s="798"/>
      <c r="AC42" s="799"/>
      <c r="AD42" s="800"/>
      <c r="AE42" s="800"/>
      <c r="AF42" s="801"/>
      <c r="AG42" s="466"/>
      <c r="AH42" s="467"/>
      <c r="AI42" s="467"/>
      <c r="AJ42" s="468"/>
      <c r="AK42" s="737"/>
      <c r="AL42" s="738"/>
      <c r="AM42" s="738"/>
      <c r="AN42" s="739"/>
      <c r="AO42" s="740"/>
      <c r="AP42" s="741"/>
      <c r="AQ42" s="741"/>
      <c r="AR42" s="742"/>
    </row>
    <row r="43" spans="3:44" ht="18" customHeight="1">
      <c r="C43" s="758"/>
      <c r="D43" s="759"/>
      <c r="E43" s="760"/>
      <c r="F43" s="796"/>
      <c r="G43" s="797"/>
      <c r="H43" s="797"/>
      <c r="I43" s="797"/>
      <c r="J43" s="797"/>
      <c r="K43" s="797"/>
      <c r="L43" s="797"/>
      <c r="M43" s="797"/>
      <c r="N43" s="797"/>
      <c r="O43" s="797"/>
      <c r="P43" s="797"/>
      <c r="Q43" s="797"/>
      <c r="R43" s="797"/>
      <c r="S43" s="797"/>
      <c r="T43" s="797"/>
      <c r="U43" s="797"/>
      <c r="V43" s="797"/>
      <c r="W43" s="797"/>
      <c r="X43" s="797"/>
      <c r="Y43" s="797"/>
      <c r="Z43" s="797"/>
      <c r="AA43" s="797"/>
      <c r="AB43" s="798"/>
      <c r="AC43" s="799"/>
      <c r="AD43" s="800"/>
      <c r="AE43" s="800"/>
      <c r="AF43" s="801"/>
      <c r="AG43" s="466"/>
      <c r="AH43" s="467"/>
      <c r="AI43" s="467"/>
      <c r="AJ43" s="468"/>
      <c r="AK43" s="737"/>
      <c r="AL43" s="738"/>
      <c r="AM43" s="738"/>
      <c r="AN43" s="739"/>
      <c r="AO43" s="740"/>
      <c r="AP43" s="741"/>
      <c r="AQ43" s="741"/>
      <c r="AR43" s="742"/>
    </row>
    <row r="44" spans="3:44" ht="18" customHeight="1">
      <c r="C44" s="758"/>
      <c r="D44" s="759"/>
      <c r="E44" s="760"/>
      <c r="F44" s="796"/>
      <c r="G44" s="797"/>
      <c r="H44" s="797"/>
      <c r="I44" s="797"/>
      <c r="J44" s="797"/>
      <c r="K44" s="797"/>
      <c r="L44" s="797"/>
      <c r="M44" s="797"/>
      <c r="N44" s="797"/>
      <c r="O44" s="797"/>
      <c r="P44" s="797"/>
      <c r="Q44" s="797"/>
      <c r="R44" s="797"/>
      <c r="S44" s="797"/>
      <c r="T44" s="797"/>
      <c r="U44" s="797"/>
      <c r="V44" s="797"/>
      <c r="W44" s="797"/>
      <c r="X44" s="797"/>
      <c r="Y44" s="797"/>
      <c r="Z44" s="797"/>
      <c r="AA44" s="797"/>
      <c r="AB44" s="798"/>
      <c r="AC44" s="799"/>
      <c r="AD44" s="800"/>
      <c r="AE44" s="800"/>
      <c r="AF44" s="801"/>
      <c r="AG44" s="466"/>
      <c r="AH44" s="467"/>
      <c r="AI44" s="467"/>
      <c r="AJ44" s="468"/>
      <c r="AK44" s="737"/>
      <c r="AL44" s="738"/>
      <c r="AM44" s="738"/>
      <c r="AN44" s="739"/>
      <c r="AO44" s="740"/>
      <c r="AP44" s="741"/>
      <c r="AQ44" s="741"/>
      <c r="AR44" s="742"/>
    </row>
    <row r="45" spans="3:44" ht="18" customHeight="1">
      <c r="C45" s="743"/>
      <c r="D45" s="744"/>
      <c r="E45" s="744"/>
      <c r="F45" s="744"/>
      <c r="G45" s="744"/>
      <c r="H45" s="744"/>
      <c r="I45" s="744"/>
      <c r="J45" s="744"/>
      <c r="K45" s="744"/>
      <c r="L45" s="744"/>
      <c r="M45" s="744"/>
      <c r="N45" s="744"/>
      <c r="O45" s="744"/>
      <c r="P45" s="744"/>
      <c r="Q45" s="744"/>
      <c r="R45" s="744"/>
      <c r="S45" s="744"/>
      <c r="T45" s="744"/>
      <c r="U45" s="744"/>
      <c r="V45" s="744"/>
      <c r="W45" s="744"/>
      <c r="X45" s="744"/>
      <c r="Y45" s="745" t="s">
        <v>88</v>
      </c>
      <c r="Z45" s="745"/>
      <c r="AA45" s="745"/>
      <c r="AB45" s="745"/>
      <c r="AC45" s="745"/>
      <c r="AD45" s="745"/>
      <c r="AE45" s="745"/>
      <c r="AF45" s="745"/>
      <c r="AG45" s="745"/>
      <c r="AH45" s="745"/>
      <c r="AI45" s="745"/>
      <c r="AJ45" s="745"/>
      <c r="AK45" s="745"/>
      <c r="AL45" s="745"/>
      <c r="AM45" s="745"/>
      <c r="AN45" s="430"/>
      <c r="AO45" s="477">
        <f>SUM(AO37:AR44)</f>
        <v>9.42</v>
      </c>
      <c r="AP45" s="746"/>
      <c r="AQ45" s="746"/>
      <c r="AR45" s="747"/>
    </row>
    <row r="47" spans="3:44" ht="18" customHeight="1">
      <c r="C47" s="794" t="s">
        <v>43</v>
      </c>
      <c r="D47" s="774"/>
      <c r="E47" s="775"/>
      <c r="F47" s="773" t="s">
        <v>89</v>
      </c>
      <c r="G47" s="774"/>
      <c r="H47" s="774"/>
      <c r="I47" s="774"/>
      <c r="J47" s="774"/>
      <c r="K47" s="774"/>
      <c r="L47" s="774"/>
      <c r="M47" s="774"/>
      <c r="N47" s="774"/>
      <c r="O47" s="774"/>
      <c r="P47" s="774"/>
      <c r="Q47" s="774"/>
      <c r="R47" s="775"/>
      <c r="S47" s="773" t="s">
        <v>90</v>
      </c>
      <c r="T47" s="774"/>
      <c r="U47" s="775"/>
      <c r="V47" s="773" t="s">
        <v>91</v>
      </c>
      <c r="W47" s="774"/>
      <c r="X47" s="775"/>
      <c r="Y47" s="773" t="s">
        <v>92</v>
      </c>
      <c r="Z47" s="774"/>
      <c r="AA47" s="774"/>
      <c r="AB47" s="774"/>
      <c r="AC47" s="774"/>
      <c r="AD47" s="775"/>
      <c r="AE47" s="773" t="s">
        <v>93</v>
      </c>
      <c r="AF47" s="774"/>
      <c r="AG47" s="775"/>
      <c r="AH47" s="773" t="s">
        <v>94</v>
      </c>
      <c r="AI47" s="774"/>
      <c r="AJ47" s="775"/>
      <c r="AK47" s="773" t="s">
        <v>86</v>
      </c>
      <c r="AL47" s="774"/>
      <c r="AM47" s="774"/>
      <c r="AN47" s="775"/>
      <c r="AO47" s="773" t="s">
        <v>87</v>
      </c>
      <c r="AP47" s="774"/>
      <c r="AQ47" s="774"/>
      <c r="AR47" s="779"/>
    </row>
    <row r="48" spans="3:44" ht="18" customHeight="1">
      <c r="C48" s="795"/>
      <c r="D48" s="777"/>
      <c r="E48" s="778"/>
      <c r="F48" s="776"/>
      <c r="G48" s="777"/>
      <c r="H48" s="777"/>
      <c r="I48" s="777"/>
      <c r="J48" s="777"/>
      <c r="K48" s="777"/>
      <c r="L48" s="777"/>
      <c r="M48" s="777"/>
      <c r="N48" s="777"/>
      <c r="O48" s="777"/>
      <c r="P48" s="777"/>
      <c r="Q48" s="777"/>
      <c r="R48" s="778"/>
      <c r="S48" s="776"/>
      <c r="T48" s="777"/>
      <c r="U48" s="778"/>
      <c r="V48" s="776"/>
      <c r="W48" s="777"/>
      <c r="X48" s="778"/>
      <c r="Y48" s="776"/>
      <c r="Z48" s="777"/>
      <c r="AA48" s="777"/>
      <c r="AB48" s="777"/>
      <c r="AC48" s="777"/>
      <c r="AD48" s="778"/>
      <c r="AE48" s="776"/>
      <c r="AF48" s="777"/>
      <c r="AG48" s="778"/>
      <c r="AH48" s="776"/>
      <c r="AI48" s="777"/>
      <c r="AJ48" s="778"/>
      <c r="AK48" s="776"/>
      <c r="AL48" s="777"/>
      <c r="AM48" s="777"/>
      <c r="AN48" s="778"/>
      <c r="AO48" s="776"/>
      <c r="AP48" s="777"/>
      <c r="AQ48" s="777"/>
      <c r="AR48" s="780"/>
    </row>
    <row r="49" spans="1:44" ht="18" customHeight="1">
      <c r="C49" s="781"/>
      <c r="D49" s="782"/>
      <c r="E49" s="783"/>
      <c r="F49" s="457"/>
      <c r="G49" s="457"/>
      <c r="H49" s="457"/>
      <c r="I49" s="457"/>
      <c r="J49" s="457"/>
      <c r="K49" s="457"/>
      <c r="L49" s="457"/>
      <c r="M49" s="457"/>
      <c r="N49" s="457"/>
      <c r="O49" s="457"/>
      <c r="P49" s="457"/>
      <c r="Q49" s="457"/>
      <c r="R49" s="457"/>
      <c r="S49" s="784"/>
      <c r="T49" s="785"/>
      <c r="U49" s="786"/>
      <c r="V49" s="784"/>
      <c r="W49" s="785"/>
      <c r="X49" s="786"/>
      <c r="Y49" s="787"/>
      <c r="Z49" s="788"/>
      <c r="AA49" s="788"/>
      <c r="AB49" s="788"/>
      <c r="AC49" s="788"/>
      <c r="AD49" s="789"/>
      <c r="AE49" s="449"/>
      <c r="AF49" s="449"/>
      <c r="AG49" s="449"/>
      <c r="AH49" s="770"/>
      <c r="AI49" s="771"/>
      <c r="AJ49" s="790"/>
      <c r="AK49" s="791"/>
      <c r="AL49" s="792"/>
      <c r="AM49" s="792"/>
      <c r="AN49" s="793"/>
      <c r="AO49" s="770"/>
      <c r="AP49" s="771"/>
      <c r="AQ49" s="771"/>
      <c r="AR49" s="772"/>
    </row>
    <row r="50" spans="1:44" ht="18" customHeight="1">
      <c r="C50" s="758"/>
      <c r="D50" s="759"/>
      <c r="E50" s="760"/>
      <c r="F50" s="761"/>
      <c r="G50" s="762"/>
      <c r="H50" s="762"/>
      <c r="I50" s="762"/>
      <c r="J50" s="762"/>
      <c r="K50" s="762"/>
      <c r="L50" s="762"/>
      <c r="M50" s="762"/>
      <c r="N50" s="762"/>
      <c r="O50" s="762"/>
      <c r="P50" s="762"/>
      <c r="Q50" s="762"/>
      <c r="R50" s="763"/>
      <c r="S50" s="764"/>
      <c r="T50" s="765"/>
      <c r="U50" s="766"/>
      <c r="V50" s="764"/>
      <c r="W50" s="765"/>
      <c r="X50" s="766"/>
      <c r="Y50" s="767"/>
      <c r="Z50" s="768"/>
      <c r="AA50" s="768"/>
      <c r="AB50" s="768"/>
      <c r="AC50" s="768"/>
      <c r="AD50" s="769"/>
      <c r="AE50" s="740"/>
      <c r="AF50" s="741"/>
      <c r="AG50" s="757"/>
      <c r="AH50" s="740"/>
      <c r="AI50" s="741"/>
      <c r="AJ50" s="757"/>
      <c r="AK50" s="737"/>
      <c r="AL50" s="738"/>
      <c r="AM50" s="738"/>
      <c r="AN50" s="739"/>
      <c r="AO50" s="740">
        <f t="shared" ref="AO50:AO56" si="0">ROUND(AE50*AH50*AK50,2)</f>
        <v>0</v>
      </c>
      <c r="AP50" s="741"/>
      <c r="AQ50" s="741"/>
      <c r="AR50" s="742"/>
    </row>
    <row r="51" spans="1:44" ht="18" customHeight="1">
      <c r="C51" s="758"/>
      <c r="D51" s="759"/>
      <c r="E51" s="760"/>
      <c r="F51" s="761"/>
      <c r="G51" s="762"/>
      <c r="H51" s="762"/>
      <c r="I51" s="762"/>
      <c r="J51" s="762"/>
      <c r="K51" s="762"/>
      <c r="L51" s="762"/>
      <c r="M51" s="762"/>
      <c r="N51" s="762"/>
      <c r="O51" s="762"/>
      <c r="P51" s="762"/>
      <c r="Q51" s="762"/>
      <c r="R51" s="763"/>
      <c r="S51" s="764"/>
      <c r="T51" s="765"/>
      <c r="U51" s="766"/>
      <c r="V51" s="764"/>
      <c r="W51" s="765"/>
      <c r="X51" s="766"/>
      <c r="Y51" s="767"/>
      <c r="Z51" s="768"/>
      <c r="AA51" s="768"/>
      <c r="AB51" s="768"/>
      <c r="AC51" s="768"/>
      <c r="AD51" s="769"/>
      <c r="AE51" s="740"/>
      <c r="AF51" s="741"/>
      <c r="AG51" s="757"/>
      <c r="AH51" s="740"/>
      <c r="AI51" s="741"/>
      <c r="AJ51" s="757"/>
      <c r="AK51" s="737"/>
      <c r="AL51" s="738"/>
      <c r="AM51" s="738"/>
      <c r="AN51" s="739"/>
      <c r="AO51" s="740">
        <f t="shared" si="0"/>
        <v>0</v>
      </c>
      <c r="AP51" s="741"/>
      <c r="AQ51" s="741"/>
      <c r="AR51" s="742"/>
    </row>
    <row r="52" spans="1:44" ht="18" customHeight="1">
      <c r="C52" s="758"/>
      <c r="D52" s="759"/>
      <c r="E52" s="760"/>
      <c r="F52" s="761"/>
      <c r="G52" s="762"/>
      <c r="H52" s="762"/>
      <c r="I52" s="762"/>
      <c r="J52" s="762"/>
      <c r="K52" s="762"/>
      <c r="L52" s="762"/>
      <c r="M52" s="762"/>
      <c r="N52" s="762"/>
      <c r="O52" s="762"/>
      <c r="P52" s="762"/>
      <c r="Q52" s="762"/>
      <c r="R52" s="763"/>
      <c r="S52" s="764"/>
      <c r="T52" s="765"/>
      <c r="U52" s="766"/>
      <c r="V52" s="764"/>
      <c r="W52" s="765"/>
      <c r="X52" s="766"/>
      <c r="Y52" s="767"/>
      <c r="Z52" s="768"/>
      <c r="AA52" s="768"/>
      <c r="AB52" s="768"/>
      <c r="AC52" s="768"/>
      <c r="AD52" s="769"/>
      <c r="AE52" s="740"/>
      <c r="AF52" s="741"/>
      <c r="AG52" s="757"/>
      <c r="AH52" s="740"/>
      <c r="AI52" s="741"/>
      <c r="AJ52" s="757"/>
      <c r="AK52" s="737"/>
      <c r="AL52" s="738"/>
      <c r="AM52" s="738"/>
      <c r="AN52" s="739"/>
      <c r="AO52" s="740">
        <f t="shared" si="0"/>
        <v>0</v>
      </c>
      <c r="AP52" s="741"/>
      <c r="AQ52" s="741"/>
      <c r="AR52" s="742"/>
    </row>
    <row r="53" spans="1:44" ht="18" customHeight="1">
      <c r="C53" s="758"/>
      <c r="D53" s="759"/>
      <c r="E53" s="760"/>
      <c r="F53" s="761"/>
      <c r="G53" s="762"/>
      <c r="H53" s="762"/>
      <c r="I53" s="762"/>
      <c r="J53" s="762"/>
      <c r="K53" s="762"/>
      <c r="L53" s="762"/>
      <c r="M53" s="762"/>
      <c r="N53" s="762"/>
      <c r="O53" s="762"/>
      <c r="P53" s="762"/>
      <c r="Q53" s="762"/>
      <c r="R53" s="763"/>
      <c r="S53" s="764"/>
      <c r="T53" s="765"/>
      <c r="U53" s="766"/>
      <c r="V53" s="764"/>
      <c r="W53" s="765"/>
      <c r="X53" s="766"/>
      <c r="Y53" s="767"/>
      <c r="Z53" s="768"/>
      <c r="AA53" s="768"/>
      <c r="AB53" s="768"/>
      <c r="AC53" s="768"/>
      <c r="AD53" s="769"/>
      <c r="AE53" s="740"/>
      <c r="AF53" s="741"/>
      <c r="AG53" s="757"/>
      <c r="AH53" s="740"/>
      <c r="AI53" s="741"/>
      <c r="AJ53" s="757"/>
      <c r="AK53" s="737"/>
      <c r="AL53" s="738"/>
      <c r="AM53" s="738"/>
      <c r="AN53" s="739"/>
      <c r="AO53" s="740">
        <f t="shared" si="0"/>
        <v>0</v>
      </c>
      <c r="AP53" s="741"/>
      <c r="AQ53" s="741"/>
      <c r="AR53" s="742"/>
    </row>
    <row r="54" spans="1:44" ht="18" customHeight="1">
      <c r="C54" s="758"/>
      <c r="D54" s="759"/>
      <c r="E54" s="760"/>
      <c r="F54" s="761"/>
      <c r="G54" s="762"/>
      <c r="H54" s="762"/>
      <c r="I54" s="762"/>
      <c r="J54" s="762"/>
      <c r="K54" s="762"/>
      <c r="L54" s="762"/>
      <c r="M54" s="762"/>
      <c r="N54" s="762"/>
      <c r="O54" s="762"/>
      <c r="P54" s="762"/>
      <c r="Q54" s="762"/>
      <c r="R54" s="763"/>
      <c r="S54" s="764"/>
      <c r="T54" s="765"/>
      <c r="U54" s="766"/>
      <c r="V54" s="764"/>
      <c r="W54" s="765"/>
      <c r="X54" s="766"/>
      <c r="Y54" s="767"/>
      <c r="Z54" s="768"/>
      <c r="AA54" s="768"/>
      <c r="AB54" s="768"/>
      <c r="AC54" s="768"/>
      <c r="AD54" s="769"/>
      <c r="AE54" s="740"/>
      <c r="AF54" s="741"/>
      <c r="AG54" s="757"/>
      <c r="AH54" s="740"/>
      <c r="AI54" s="741"/>
      <c r="AJ54" s="757"/>
      <c r="AK54" s="737"/>
      <c r="AL54" s="738"/>
      <c r="AM54" s="738"/>
      <c r="AN54" s="739"/>
      <c r="AO54" s="740">
        <f t="shared" si="0"/>
        <v>0</v>
      </c>
      <c r="AP54" s="741"/>
      <c r="AQ54" s="741"/>
      <c r="AR54" s="742"/>
    </row>
    <row r="55" spans="1:44" ht="18" customHeight="1">
      <c r="C55" s="758"/>
      <c r="D55" s="759"/>
      <c r="E55" s="760"/>
      <c r="F55" s="761"/>
      <c r="G55" s="762"/>
      <c r="H55" s="762"/>
      <c r="I55" s="762"/>
      <c r="J55" s="762"/>
      <c r="K55" s="762"/>
      <c r="L55" s="762"/>
      <c r="M55" s="762"/>
      <c r="N55" s="762"/>
      <c r="O55" s="762"/>
      <c r="P55" s="762"/>
      <c r="Q55" s="762"/>
      <c r="R55" s="763"/>
      <c r="S55" s="764"/>
      <c r="T55" s="765"/>
      <c r="U55" s="766"/>
      <c r="V55" s="764"/>
      <c r="W55" s="765"/>
      <c r="X55" s="766"/>
      <c r="Y55" s="767"/>
      <c r="Z55" s="768"/>
      <c r="AA55" s="768"/>
      <c r="AB55" s="768"/>
      <c r="AC55" s="768"/>
      <c r="AD55" s="769"/>
      <c r="AE55" s="740"/>
      <c r="AF55" s="741"/>
      <c r="AG55" s="757"/>
      <c r="AH55" s="740"/>
      <c r="AI55" s="741"/>
      <c r="AJ55" s="757"/>
      <c r="AK55" s="737"/>
      <c r="AL55" s="738"/>
      <c r="AM55" s="738"/>
      <c r="AN55" s="739"/>
      <c r="AO55" s="740">
        <f t="shared" si="0"/>
        <v>0</v>
      </c>
      <c r="AP55" s="741"/>
      <c r="AQ55" s="741"/>
      <c r="AR55" s="742"/>
    </row>
    <row r="56" spans="1:44" ht="18" customHeight="1">
      <c r="C56" s="758"/>
      <c r="D56" s="759"/>
      <c r="E56" s="760"/>
      <c r="F56" s="761"/>
      <c r="G56" s="762"/>
      <c r="H56" s="762"/>
      <c r="I56" s="762"/>
      <c r="J56" s="762"/>
      <c r="K56" s="762"/>
      <c r="L56" s="762"/>
      <c r="M56" s="762"/>
      <c r="N56" s="762"/>
      <c r="O56" s="762"/>
      <c r="P56" s="762"/>
      <c r="Q56" s="762"/>
      <c r="R56" s="763"/>
      <c r="S56" s="764"/>
      <c r="T56" s="765"/>
      <c r="U56" s="766"/>
      <c r="V56" s="764"/>
      <c r="W56" s="765"/>
      <c r="X56" s="766"/>
      <c r="Y56" s="767"/>
      <c r="Z56" s="768"/>
      <c r="AA56" s="768"/>
      <c r="AB56" s="768"/>
      <c r="AC56" s="768"/>
      <c r="AD56" s="769"/>
      <c r="AE56" s="740"/>
      <c r="AF56" s="741"/>
      <c r="AG56" s="757"/>
      <c r="AH56" s="740"/>
      <c r="AI56" s="741"/>
      <c r="AJ56" s="757"/>
      <c r="AK56" s="737"/>
      <c r="AL56" s="738"/>
      <c r="AM56" s="738"/>
      <c r="AN56" s="739"/>
      <c r="AO56" s="740">
        <f t="shared" si="0"/>
        <v>0</v>
      </c>
      <c r="AP56" s="741"/>
      <c r="AQ56" s="741"/>
      <c r="AR56" s="742"/>
    </row>
    <row r="57" spans="1:44" ht="18" customHeight="1">
      <c r="C57" s="743"/>
      <c r="D57" s="744"/>
      <c r="E57" s="744"/>
      <c r="F57" s="744"/>
      <c r="G57" s="744"/>
      <c r="H57" s="744"/>
      <c r="I57" s="744"/>
      <c r="J57" s="744"/>
      <c r="K57" s="744"/>
      <c r="L57" s="744"/>
      <c r="M57" s="744"/>
      <c r="N57" s="744"/>
      <c r="O57" s="744"/>
      <c r="P57" s="744"/>
      <c r="Q57" s="744"/>
      <c r="R57" s="744"/>
      <c r="S57" s="744"/>
      <c r="T57" s="744"/>
      <c r="U57" s="744"/>
      <c r="V57" s="744"/>
      <c r="W57" s="744"/>
      <c r="X57" s="744"/>
      <c r="Y57" s="745" t="s">
        <v>95</v>
      </c>
      <c r="Z57" s="745"/>
      <c r="AA57" s="745"/>
      <c r="AB57" s="745"/>
      <c r="AC57" s="745"/>
      <c r="AD57" s="745"/>
      <c r="AE57" s="745"/>
      <c r="AF57" s="745"/>
      <c r="AG57" s="745"/>
      <c r="AH57" s="745"/>
      <c r="AI57" s="745"/>
      <c r="AJ57" s="745"/>
      <c r="AK57" s="745"/>
      <c r="AL57" s="745"/>
      <c r="AM57" s="745"/>
      <c r="AN57" s="430"/>
      <c r="AO57" s="477">
        <f>SUM(AO49:AR56)</f>
        <v>0</v>
      </c>
      <c r="AP57" s="746"/>
      <c r="AQ57" s="746"/>
      <c r="AR57" s="747"/>
    </row>
    <row r="59" spans="1:44" ht="18" customHeight="1">
      <c r="C59" s="434"/>
      <c r="D59" s="434"/>
      <c r="E59" s="434"/>
      <c r="F59" s="434"/>
      <c r="G59" s="434"/>
      <c r="H59" s="434"/>
      <c r="I59" s="434"/>
      <c r="J59" s="434"/>
      <c r="K59" s="434"/>
      <c r="L59" s="434"/>
      <c r="M59" s="434"/>
      <c r="N59" s="434"/>
      <c r="O59" s="434"/>
      <c r="P59" s="434"/>
      <c r="Q59" s="434"/>
      <c r="R59" s="434"/>
      <c r="S59" s="434"/>
      <c r="T59" s="434"/>
      <c r="U59" s="434"/>
      <c r="V59" s="434"/>
      <c r="W59" s="434"/>
      <c r="X59" s="748"/>
      <c r="Y59" s="749" t="s">
        <v>96</v>
      </c>
      <c r="Z59" s="750"/>
      <c r="AA59" s="750"/>
      <c r="AB59" s="750"/>
      <c r="AC59" s="750"/>
      <c r="AD59" s="750"/>
      <c r="AE59" s="750"/>
      <c r="AF59" s="750"/>
      <c r="AG59" s="750"/>
      <c r="AH59" s="750"/>
      <c r="AI59" s="750"/>
      <c r="AJ59" s="750"/>
      <c r="AK59" s="750"/>
      <c r="AL59" s="750"/>
      <c r="AM59" s="750"/>
      <c r="AN59" s="751"/>
      <c r="AO59" s="752">
        <f>AO33+AO45+AO57</f>
        <v>9.6999999999999993</v>
      </c>
      <c r="AP59" s="753"/>
      <c r="AQ59" s="753"/>
      <c r="AR59" s="754"/>
    </row>
    <row r="60" spans="1:44" ht="18" customHeight="1">
      <c r="C60" s="434"/>
      <c r="D60" s="434"/>
      <c r="E60" s="434"/>
      <c r="F60" s="434"/>
      <c r="G60" s="434"/>
      <c r="H60" s="434"/>
      <c r="I60" s="434"/>
      <c r="J60" s="434"/>
      <c r="K60" s="434"/>
      <c r="L60" s="434"/>
      <c r="M60" s="434"/>
      <c r="N60" s="434"/>
      <c r="O60" s="434"/>
      <c r="P60" s="434"/>
      <c r="Q60" s="434"/>
      <c r="R60" s="434"/>
      <c r="S60" s="434"/>
      <c r="T60" s="434"/>
      <c r="U60" s="434"/>
      <c r="V60" s="434"/>
      <c r="W60" s="434"/>
      <c r="X60" s="748"/>
      <c r="Y60" s="755" t="s">
        <v>97</v>
      </c>
      <c r="Z60" s="756"/>
      <c r="AA60" s="756"/>
      <c r="AB60" s="756"/>
      <c r="AC60" s="756"/>
      <c r="AD60" s="756"/>
      <c r="AE60" s="756"/>
      <c r="AF60" s="756"/>
      <c r="AG60" s="756"/>
      <c r="AH60" s="442">
        <v>0.2031</v>
      </c>
      <c r="AI60" s="442"/>
      <c r="AJ60" s="442"/>
      <c r="AK60" s="442"/>
      <c r="AL60" s="442"/>
      <c r="AM60" s="442"/>
      <c r="AN60" s="443"/>
      <c r="AO60" s="728">
        <f>ROUND(AO59*AH60,2)</f>
        <v>1.97</v>
      </c>
      <c r="AP60" s="729"/>
      <c r="AQ60" s="729"/>
      <c r="AR60" s="730"/>
    </row>
    <row r="61" spans="1:44" ht="18" customHeight="1">
      <c r="A61" s="415" t="s">
        <v>285</v>
      </c>
      <c r="B61" s="415"/>
      <c r="C61" s="434"/>
      <c r="D61" s="434"/>
      <c r="E61" s="434"/>
      <c r="F61" s="434"/>
      <c r="G61" s="434"/>
      <c r="H61" s="434"/>
      <c r="I61" s="434"/>
      <c r="J61" s="434"/>
      <c r="K61" s="434"/>
      <c r="L61" s="434"/>
      <c r="M61" s="434"/>
      <c r="N61" s="434"/>
      <c r="O61" s="434"/>
      <c r="P61" s="434"/>
      <c r="Q61" s="434"/>
      <c r="R61" s="434"/>
      <c r="S61" s="434"/>
      <c r="T61" s="434"/>
      <c r="U61" s="434"/>
      <c r="V61" s="434"/>
      <c r="W61" s="434"/>
      <c r="X61" s="748"/>
      <c r="Y61" s="731" t="s">
        <v>98</v>
      </c>
      <c r="Z61" s="732"/>
      <c r="AA61" s="732"/>
      <c r="AB61" s="732"/>
      <c r="AC61" s="732"/>
      <c r="AD61" s="732"/>
      <c r="AE61" s="732"/>
      <c r="AF61" s="732"/>
      <c r="AG61" s="732"/>
      <c r="AH61" s="732"/>
      <c r="AI61" s="732"/>
      <c r="AJ61" s="732"/>
      <c r="AK61" s="732"/>
      <c r="AL61" s="732"/>
      <c r="AM61" s="732"/>
      <c r="AN61" s="733"/>
      <c r="AO61" s="734">
        <f>SUM(AO59:AR60)</f>
        <v>11.67</v>
      </c>
      <c r="AP61" s="735"/>
      <c r="AQ61" s="735"/>
      <c r="AR61" s="736"/>
    </row>
    <row r="63" spans="1:44" ht="18" customHeight="1">
      <c r="C63" s="420" t="s">
        <v>99</v>
      </c>
      <c r="D63" s="421"/>
      <c r="E63" s="421"/>
      <c r="F63" s="421"/>
      <c r="G63" s="421"/>
      <c r="H63" s="421"/>
      <c r="I63" s="422"/>
      <c r="J63" s="422"/>
      <c r="K63" s="422"/>
      <c r="L63" s="422"/>
      <c r="M63" s="422"/>
      <c r="N63" s="422"/>
      <c r="O63" s="422"/>
      <c r="P63" s="422"/>
      <c r="Q63" s="422"/>
      <c r="R63" s="422"/>
      <c r="S63" s="422"/>
      <c r="T63" s="422"/>
      <c r="U63" s="422"/>
      <c r="V63" s="422"/>
      <c r="W63" s="422"/>
      <c r="X63" s="422"/>
      <c r="Y63" s="422"/>
      <c r="Z63" s="422"/>
      <c r="AA63" s="422"/>
      <c r="AB63" s="422"/>
      <c r="AC63" s="422"/>
      <c r="AD63" s="422"/>
      <c r="AE63" s="422"/>
      <c r="AF63" s="422"/>
      <c r="AG63" s="422"/>
      <c r="AH63" s="422"/>
      <c r="AI63" s="422"/>
      <c r="AJ63" s="422"/>
      <c r="AK63" s="422"/>
      <c r="AL63" s="422"/>
      <c r="AM63" s="422"/>
      <c r="AN63" s="422"/>
      <c r="AO63" s="422"/>
      <c r="AP63" s="422"/>
      <c r="AQ63" s="422"/>
      <c r="AR63" s="423"/>
    </row>
    <row r="64" spans="1:44" ht="18" customHeight="1">
      <c r="C64" s="411"/>
      <c r="D64" s="412"/>
      <c r="E64" s="412"/>
      <c r="F64" s="412"/>
      <c r="G64" s="412"/>
      <c r="H64" s="412"/>
      <c r="I64" s="409"/>
      <c r="J64" s="409"/>
      <c r="K64" s="409"/>
      <c r="L64" s="409"/>
      <c r="M64" s="409"/>
      <c r="N64" s="409"/>
      <c r="O64" s="409"/>
      <c r="P64" s="409"/>
      <c r="Q64" s="409"/>
      <c r="R64" s="409"/>
      <c r="S64" s="409"/>
      <c r="T64" s="409"/>
      <c r="U64" s="409"/>
      <c r="V64" s="409"/>
      <c r="W64" s="409"/>
      <c r="X64" s="409"/>
      <c r="Y64" s="409"/>
      <c r="Z64" s="409"/>
      <c r="AA64" s="409"/>
      <c r="AB64" s="409"/>
      <c r="AC64" s="409"/>
      <c r="AD64" s="409"/>
      <c r="AE64" s="409"/>
      <c r="AF64" s="409"/>
      <c r="AG64" s="409"/>
      <c r="AH64" s="409"/>
      <c r="AI64" s="409"/>
      <c r="AJ64" s="409"/>
      <c r="AK64" s="409"/>
      <c r="AL64" s="409"/>
      <c r="AM64" s="409"/>
      <c r="AN64" s="409"/>
      <c r="AO64" s="409"/>
      <c r="AP64" s="409"/>
      <c r="AQ64" s="409"/>
      <c r="AR64" s="410"/>
    </row>
    <row r="65" spans="3:44" ht="18" customHeight="1">
      <c r="C65" s="411"/>
      <c r="D65" s="412"/>
      <c r="E65" s="412"/>
      <c r="F65" s="412"/>
      <c r="G65" s="412"/>
      <c r="H65" s="412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409"/>
      <c r="AC65" s="409"/>
      <c r="AD65" s="409"/>
      <c r="AE65" s="409"/>
      <c r="AF65" s="409"/>
      <c r="AG65" s="409"/>
      <c r="AH65" s="409"/>
      <c r="AI65" s="409"/>
      <c r="AJ65" s="409"/>
      <c r="AK65" s="409"/>
      <c r="AL65" s="409"/>
      <c r="AM65" s="409"/>
      <c r="AN65" s="409"/>
      <c r="AO65" s="409"/>
      <c r="AP65" s="409"/>
      <c r="AQ65" s="409"/>
      <c r="AR65" s="410"/>
    </row>
    <row r="66" spans="3:44" ht="18" customHeight="1">
      <c r="C66" s="411"/>
      <c r="D66" s="412"/>
      <c r="E66" s="412"/>
      <c r="F66" s="412"/>
      <c r="G66" s="412"/>
      <c r="H66" s="412"/>
      <c r="I66" s="409"/>
      <c r="J66" s="409"/>
      <c r="K66" s="409"/>
      <c r="L66" s="409"/>
      <c r="M66" s="409"/>
      <c r="N66" s="409"/>
      <c r="O66" s="409"/>
      <c r="P66" s="409"/>
      <c r="Q66" s="409"/>
      <c r="R66" s="409"/>
      <c r="S66" s="409"/>
      <c r="T66" s="409"/>
      <c r="U66" s="409"/>
      <c r="V66" s="409"/>
      <c r="W66" s="409"/>
      <c r="X66" s="409"/>
      <c r="Y66" s="409"/>
      <c r="Z66" s="409"/>
      <c r="AA66" s="409"/>
      <c r="AB66" s="409"/>
      <c r="AC66" s="409"/>
      <c r="AD66" s="409"/>
      <c r="AE66" s="409"/>
      <c r="AF66" s="409"/>
      <c r="AG66" s="409"/>
      <c r="AH66" s="409"/>
      <c r="AI66" s="409"/>
      <c r="AJ66" s="409"/>
      <c r="AK66" s="409"/>
      <c r="AL66" s="409"/>
      <c r="AM66" s="409"/>
      <c r="AN66" s="409"/>
      <c r="AO66" s="409"/>
      <c r="AP66" s="409"/>
      <c r="AQ66" s="409"/>
      <c r="AR66" s="410"/>
    </row>
    <row r="67" spans="3:44" ht="18" customHeight="1">
      <c r="C67" s="411"/>
      <c r="D67" s="412"/>
      <c r="E67" s="412"/>
      <c r="F67" s="412"/>
      <c r="G67" s="412"/>
      <c r="H67" s="412"/>
      <c r="I67" s="409"/>
      <c r="J67" s="409"/>
      <c r="K67" s="409"/>
      <c r="L67" s="409"/>
      <c r="M67" s="409"/>
      <c r="N67" s="409"/>
      <c r="O67" s="409"/>
      <c r="P67" s="409"/>
      <c r="Q67" s="409"/>
      <c r="R67" s="409"/>
      <c r="S67" s="409"/>
      <c r="T67" s="409"/>
      <c r="U67" s="409"/>
      <c r="V67" s="409"/>
      <c r="W67" s="409"/>
      <c r="X67" s="409"/>
      <c r="Y67" s="409"/>
      <c r="Z67" s="409"/>
      <c r="AA67" s="409"/>
      <c r="AB67" s="409"/>
      <c r="AC67" s="409"/>
      <c r="AD67" s="409"/>
      <c r="AE67" s="409"/>
      <c r="AF67" s="409"/>
      <c r="AG67" s="409"/>
      <c r="AH67" s="409"/>
      <c r="AI67" s="409"/>
      <c r="AJ67" s="409"/>
      <c r="AK67" s="409"/>
      <c r="AL67" s="409"/>
      <c r="AM67" s="409"/>
      <c r="AN67" s="409"/>
      <c r="AO67" s="409"/>
      <c r="AP67" s="409"/>
      <c r="AQ67" s="409"/>
      <c r="AR67" s="410"/>
    </row>
    <row r="68" spans="3:44" ht="18" customHeight="1">
      <c r="C68" s="385"/>
      <c r="D68" s="386"/>
      <c r="E68" s="386"/>
      <c r="F68" s="386"/>
      <c r="G68" s="386"/>
      <c r="H68" s="386"/>
      <c r="I68" s="387"/>
      <c r="J68" s="387"/>
      <c r="K68" s="387"/>
      <c r="L68" s="387"/>
      <c r="M68" s="387"/>
      <c r="N68" s="387"/>
      <c r="O68" s="387"/>
      <c r="P68" s="387"/>
      <c r="Q68" s="387"/>
      <c r="R68" s="387"/>
      <c r="S68" s="387"/>
      <c r="T68" s="387"/>
      <c r="U68" s="387"/>
      <c r="V68" s="387"/>
      <c r="W68" s="387"/>
      <c r="X68" s="387"/>
      <c r="Y68" s="387"/>
      <c r="Z68" s="387"/>
      <c r="AA68" s="387"/>
      <c r="AB68" s="387"/>
      <c r="AC68" s="387"/>
      <c r="AD68" s="387"/>
      <c r="AE68" s="387"/>
      <c r="AF68" s="387"/>
      <c r="AG68" s="387"/>
      <c r="AH68" s="387"/>
      <c r="AI68" s="387"/>
      <c r="AJ68" s="387"/>
      <c r="AK68" s="387"/>
      <c r="AL68" s="387"/>
      <c r="AM68" s="387"/>
      <c r="AN68" s="387"/>
      <c r="AO68" s="387"/>
      <c r="AP68" s="387"/>
      <c r="AQ68" s="387"/>
      <c r="AR68" s="388"/>
    </row>
    <row r="70" spans="3:44" ht="18" customHeight="1">
      <c r="C70" s="389" t="s">
        <v>100</v>
      </c>
      <c r="D70" s="390"/>
      <c r="E70" s="390"/>
      <c r="F70" s="390"/>
      <c r="G70" s="390"/>
      <c r="H70" s="390"/>
      <c r="I70" s="390"/>
      <c r="J70" s="390"/>
      <c r="K70" s="390"/>
      <c r="L70" s="390"/>
      <c r="M70" s="390"/>
      <c r="N70" s="390"/>
      <c r="O70" s="390"/>
      <c r="P70" s="390"/>
      <c r="Q70" s="390"/>
      <c r="R70" s="390"/>
      <c r="S70" s="390"/>
      <c r="T70" s="390"/>
      <c r="U70" s="390"/>
      <c r="V70" s="390"/>
      <c r="W70" s="390"/>
      <c r="X70" s="390"/>
      <c r="Y70" s="390"/>
      <c r="Z70" s="390"/>
      <c r="AA70" s="391"/>
      <c r="AB70" s="392" t="str">
        <f>[4]C.UNIT.SERV.!$E$5</f>
        <v>DATA-BASE:      MAIO/2011/PR</v>
      </c>
      <c r="AC70" s="393"/>
      <c r="AD70" s="393"/>
      <c r="AE70" s="393"/>
      <c r="AF70" s="393"/>
      <c r="AG70" s="393"/>
      <c r="AH70" s="393"/>
      <c r="AI70" s="394"/>
      <c r="AJ70" s="392"/>
      <c r="AK70" s="393"/>
      <c r="AL70" s="393"/>
      <c r="AM70" s="393"/>
      <c r="AN70" s="393"/>
      <c r="AO70" s="393"/>
      <c r="AP70" s="393"/>
      <c r="AQ70" s="393"/>
      <c r="AR70" s="401"/>
    </row>
    <row r="71" spans="3:44" ht="18" customHeight="1">
      <c r="C71" s="404" t="s">
        <v>101</v>
      </c>
      <c r="D71" s="405"/>
      <c r="E71" s="405"/>
      <c r="F71" s="405"/>
      <c r="G71" s="405" t="s">
        <v>283</v>
      </c>
      <c r="H71" s="405"/>
      <c r="I71" s="405"/>
      <c r="J71" s="405"/>
      <c r="K71" s="405"/>
      <c r="L71" s="405"/>
      <c r="M71" s="405"/>
      <c r="N71" s="405"/>
      <c r="O71" s="405"/>
      <c r="P71" s="405"/>
      <c r="Q71" s="405"/>
      <c r="R71" s="405"/>
      <c r="S71" s="405"/>
      <c r="T71" s="405"/>
      <c r="U71" s="405"/>
      <c r="V71" s="405"/>
      <c r="W71" s="405"/>
      <c r="X71" s="405"/>
      <c r="Y71" s="405"/>
      <c r="Z71" s="405"/>
      <c r="AA71" s="406"/>
      <c r="AB71" s="395"/>
      <c r="AC71" s="396"/>
      <c r="AD71" s="396"/>
      <c r="AE71" s="396"/>
      <c r="AF71" s="396"/>
      <c r="AG71" s="396"/>
      <c r="AH71" s="396"/>
      <c r="AI71" s="397"/>
      <c r="AJ71" s="395"/>
      <c r="AK71" s="396"/>
      <c r="AL71" s="396"/>
      <c r="AM71" s="396"/>
      <c r="AN71" s="396"/>
      <c r="AO71" s="396"/>
      <c r="AP71" s="396"/>
      <c r="AQ71" s="396"/>
      <c r="AR71" s="402"/>
    </row>
    <row r="72" spans="3:44" ht="18" customHeight="1">
      <c r="C72" s="404" t="s">
        <v>102</v>
      </c>
      <c r="D72" s="405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5"/>
      <c r="Q72" s="405"/>
      <c r="R72" s="405"/>
      <c r="S72" s="405"/>
      <c r="T72" s="405"/>
      <c r="U72" s="405"/>
      <c r="V72" s="405"/>
      <c r="W72" s="405"/>
      <c r="X72" s="405"/>
      <c r="Y72" s="405"/>
      <c r="Z72" s="405"/>
      <c r="AA72" s="406"/>
      <c r="AB72" s="395"/>
      <c r="AC72" s="396"/>
      <c r="AD72" s="396"/>
      <c r="AE72" s="396"/>
      <c r="AF72" s="396"/>
      <c r="AG72" s="396"/>
      <c r="AH72" s="396"/>
      <c r="AI72" s="397"/>
      <c r="AJ72" s="395"/>
      <c r="AK72" s="396"/>
      <c r="AL72" s="396"/>
      <c r="AM72" s="396"/>
      <c r="AN72" s="396"/>
      <c r="AO72" s="396"/>
      <c r="AP72" s="396"/>
      <c r="AQ72" s="396"/>
      <c r="AR72" s="402"/>
    </row>
    <row r="73" spans="3:44" ht="18" customHeight="1">
      <c r="C73" s="407"/>
      <c r="D73" s="408"/>
      <c r="E73" s="408"/>
      <c r="F73" s="408"/>
      <c r="G73" s="408"/>
      <c r="H73" s="408"/>
      <c r="I73" s="408"/>
      <c r="J73" s="408"/>
      <c r="K73" s="408"/>
      <c r="L73" s="408"/>
      <c r="M73" s="408"/>
      <c r="N73" s="408"/>
      <c r="O73" s="408"/>
      <c r="P73" s="408"/>
      <c r="Q73" s="408"/>
      <c r="R73" s="408"/>
      <c r="S73" s="408"/>
      <c r="T73" s="408"/>
      <c r="U73" s="408"/>
      <c r="V73" s="408"/>
      <c r="W73" s="408"/>
      <c r="X73" s="408"/>
      <c r="Y73" s="408"/>
      <c r="Z73" s="408"/>
      <c r="AA73" s="408"/>
      <c r="AB73" s="398"/>
      <c r="AC73" s="399"/>
      <c r="AD73" s="399"/>
      <c r="AE73" s="399"/>
      <c r="AF73" s="399"/>
      <c r="AG73" s="399"/>
      <c r="AH73" s="399"/>
      <c r="AI73" s="400"/>
      <c r="AJ73" s="398"/>
      <c r="AK73" s="399"/>
      <c r="AL73" s="399"/>
      <c r="AM73" s="399"/>
      <c r="AN73" s="399"/>
      <c r="AO73" s="399"/>
      <c r="AP73" s="399"/>
      <c r="AQ73" s="399"/>
      <c r="AR73" s="403"/>
    </row>
    <row r="75" spans="3:44" ht="18" customHeight="1">
      <c r="C75" s="850" t="s">
        <v>64</v>
      </c>
      <c r="D75" s="851"/>
      <c r="E75" s="851"/>
      <c r="F75" s="851"/>
      <c r="G75" s="851"/>
      <c r="H75" s="851"/>
      <c r="I75" s="851"/>
      <c r="J75" s="851"/>
      <c r="K75" s="851"/>
      <c r="L75" s="851"/>
      <c r="M75" s="851"/>
      <c r="N75" s="851"/>
      <c r="O75" s="851"/>
      <c r="P75" s="851"/>
      <c r="Q75" s="851"/>
      <c r="R75" s="851"/>
      <c r="S75" s="851"/>
      <c r="T75" s="851"/>
      <c r="U75" s="851"/>
      <c r="V75" s="851"/>
      <c r="W75" s="851"/>
      <c r="X75" s="851"/>
      <c r="Y75" s="851"/>
      <c r="Z75" s="851"/>
      <c r="AA75" s="851"/>
      <c r="AB75" s="851"/>
      <c r="AC75" s="851"/>
      <c r="AD75" s="851"/>
      <c r="AE75" s="851"/>
      <c r="AF75" s="851"/>
      <c r="AG75" s="851"/>
      <c r="AH75" s="851"/>
      <c r="AI75" s="851"/>
      <c r="AJ75" s="851"/>
      <c r="AK75" s="851"/>
      <c r="AL75" s="851"/>
      <c r="AM75" s="851"/>
      <c r="AN75" s="851"/>
      <c r="AO75" s="851"/>
      <c r="AP75" s="851"/>
      <c r="AQ75" s="851"/>
      <c r="AR75" s="852"/>
    </row>
    <row r="76" spans="3:44" ht="18" customHeight="1">
      <c r="C76" s="853"/>
      <c r="D76" s="854"/>
      <c r="E76" s="854"/>
      <c r="F76" s="854"/>
      <c r="G76" s="854"/>
      <c r="H76" s="854"/>
      <c r="I76" s="854"/>
      <c r="J76" s="854"/>
      <c r="K76" s="854"/>
      <c r="L76" s="854"/>
      <c r="M76" s="854"/>
      <c r="N76" s="854"/>
      <c r="O76" s="854"/>
      <c r="P76" s="854"/>
      <c r="Q76" s="854"/>
      <c r="R76" s="854"/>
      <c r="S76" s="854"/>
      <c r="T76" s="854"/>
      <c r="U76" s="854"/>
      <c r="V76" s="854"/>
      <c r="W76" s="854"/>
      <c r="X76" s="854"/>
      <c r="Y76" s="854"/>
      <c r="Z76" s="854"/>
      <c r="AA76" s="854"/>
      <c r="AB76" s="854"/>
      <c r="AC76" s="854"/>
      <c r="AD76" s="854"/>
      <c r="AE76" s="854"/>
      <c r="AF76" s="854"/>
      <c r="AG76" s="854"/>
      <c r="AH76" s="854"/>
      <c r="AI76" s="854"/>
      <c r="AJ76" s="854"/>
      <c r="AK76" s="854"/>
      <c r="AL76" s="854"/>
      <c r="AM76" s="854"/>
      <c r="AN76" s="854"/>
      <c r="AO76" s="854"/>
      <c r="AP76" s="854"/>
      <c r="AQ76" s="854"/>
      <c r="AR76" s="855"/>
    </row>
    <row r="77" spans="3:44" ht="18" customHeight="1">
      <c r="C77" s="856" t="s">
        <v>65</v>
      </c>
      <c r="D77" s="857"/>
      <c r="E77" s="857"/>
      <c r="F77" s="857"/>
      <c r="G77" s="860" t="s">
        <v>357</v>
      </c>
      <c r="H77" s="860"/>
      <c r="I77" s="860"/>
      <c r="J77" s="861"/>
      <c r="K77" s="864" t="s">
        <v>66</v>
      </c>
      <c r="L77" s="865"/>
      <c r="M77" s="865"/>
      <c r="N77" s="865"/>
      <c r="O77" s="526" t="s">
        <v>393</v>
      </c>
      <c r="P77" s="526"/>
      <c r="Q77" s="526"/>
      <c r="R77" s="526"/>
      <c r="S77" s="526"/>
      <c r="T77" s="526"/>
      <c r="U77" s="526"/>
      <c r="V77" s="526"/>
      <c r="W77" s="526"/>
      <c r="X77" s="526"/>
      <c r="Y77" s="526"/>
      <c r="Z77" s="526"/>
      <c r="AA77" s="526"/>
      <c r="AB77" s="526"/>
      <c r="AC77" s="526"/>
      <c r="AD77" s="526"/>
      <c r="AE77" s="526"/>
      <c r="AF77" s="526"/>
      <c r="AG77" s="526"/>
      <c r="AH77" s="526"/>
      <c r="AI77" s="526"/>
      <c r="AJ77" s="526"/>
      <c r="AK77" s="527"/>
      <c r="AL77" s="864" t="s">
        <v>67</v>
      </c>
      <c r="AM77" s="865"/>
      <c r="AN77" s="865"/>
      <c r="AO77" s="865"/>
      <c r="AP77" s="843" t="s">
        <v>189</v>
      </c>
      <c r="AQ77" s="843"/>
      <c r="AR77" s="844"/>
    </row>
    <row r="78" spans="3:44" ht="18" customHeight="1">
      <c r="C78" s="858"/>
      <c r="D78" s="859"/>
      <c r="E78" s="859"/>
      <c r="F78" s="859"/>
      <c r="G78" s="862"/>
      <c r="H78" s="862"/>
      <c r="I78" s="862"/>
      <c r="J78" s="863"/>
      <c r="K78" s="866"/>
      <c r="L78" s="867"/>
      <c r="M78" s="867"/>
      <c r="N78" s="867"/>
      <c r="O78" s="528"/>
      <c r="P78" s="528"/>
      <c r="Q78" s="528"/>
      <c r="R78" s="528"/>
      <c r="S78" s="528"/>
      <c r="T78" s="528"/>
      <c r="U78" s="528"/>
      <c r="V78" s="528"/>
      <c r="W78" s="528"/>
      <c r="X78" s="528"/>
      <c r="Y78" s="528"/>
      <c r="Z78" s="528"/>
      <c r="AA78" s="528"/>
      <c r="AB78" s="528"/>
      <c r="AC78" s="528"/>
      <c r="AD78" s="528"/>
      <c r="AE78" s="528"/>
      <c r="AF78" s="528"/>
      <c r="AG78" s="528"/>
      <c r="AH78" s="528"/>
      <c r="AI78" s="528"/>
      <c r="AJ78" s="528"/>
      <c r="AK78" s="529"/>
      <c r="AL78" s="866"/>
      <c r="AM78" s="867"/>
      <c r="AN78" s="867"/>
      <c r="AO78" s="867"/>
      <c r="AP78" s="845"/>
      <c r="AQ78" s="845"/>
      <c r="AR78" s="846"/>
    </row>
    <row r="80" spans="3:44" ht="18" customHeight="1">
      <c r="C80" s="794" t="s">
        <v>43</v>
      </c>
      <c r="D80" s="774"/>
      <c r="E80" s="775"/>
      <c r="F80" s="773" t="s">
        <v>68</v>
      </c>
      <c r="G80" s="774"/>
      <c r="H80" s="774"/>
      <c r="I80" s="774"/>
      <c r="J80" s="774"/>
      <c r="K80" s="774"/>
      <c r="L80" s="774"/>
      <c r="M80" s="774"/>
      <c r="N80" s="774"/>
      <c r="O80" s="774"/>
      <c r="P80" s="774"/>
      <c r="Q80" s="774"/>
      <c r="R80" s="774"/>
      <c r="S80" s="774"/>
      <c r="T80" s="774"/>
      <c r="U80" s="775"/>
      <c r="V80" s="773" t="s">
        <v>249</v>
      </c>
      <c r="W80" s="774"/>
      <c r="X80" s="775"/>
      <c r="Y80" s="847" t="s">
        <v>69</v>
      </c>
      <c r="Z80" s="848"/>
      <c r="AA80" s="848"/>
      <c r="AB80" s="848"/>
      <c r="AC80" s="848"/>
      <c r="AD80" s="848"/>
      <c r="AE80" s="848"/>
      <c r="AF80" s="849"/>
      <c r="AG80" s="847" t="s">
        <v>70</v>
      </c>
      <c r="AH80" s="848"/>
      <c r="AI80" s="848"/>
      <c r="AJ80" s="848"/>
      <c r="AK80" s="848"/>
      <c r="AL80" s="848"/>
      <c r="AM80" s="848"/>
      <c r="AN80" s="849"/>
      <c r="AO80" s="773" t="s">
        <v>71</v>
      </c>
      <c r="AP80" s="774"/>
      <c r="AQ80" s="774"/>
      <c r="AR80" s="779"/>
    </row>
    <row r="81" spans="3:44" ht="18" customHeight="1">
      <c r="C81" s="795"/>
      <c r="D81" s="777"/>
      <c r="E81" s="778"/>
      <c r="F81" s="776"/>
      <c r="G81" s="777"/>
      <c r="H81" s="777"/>
      <c r="I81" s="777"/>
      <c r="J81" s="777"/>
      <c r="K81" s="777"/>
      <c r="L81" s="777"/>
      <c r="M81" s="777"/>
      <c r="N81" s="777"/>
      <c r="O81" s="777"/>
      <c r="P81" s="777"/>
      <c r="Q81" s="777"/>
      <c r="R81" s="777"/>
      <c r="S81" s="777"/>
      <c r="T81" s="777"/>
      <c r="U81" s="778"/>
      <c r="V81" s="776"/>
      <c r="W81" s="777"/>
      <c r="X81" s="778"/>
      <c r="Y81" s="834" t="s">
        <v>72</v>
      </c>
      <c r="Z81" s="835"/>
      <c r="AA81" s="835"/>
      <c r="AB81" s="836"/>
      <c r="AC81" s="834" t="s">
        <v>73</v>
      </c>
      <c r="AD81" s="835"/>
      <c r="AE81" s="835"/>
      <c r="AF81" s="836"/>
      <c r="AG81" s="834" t="s">
        <v>72</v>
      </c>
      <c r="AH81" s="835"/>
      <c r="AI81" s="835"/>
      <c r="AJ81" s="836"/>
      <c r="AK81" s="834" t="s">
        <v>73</v>
      </c>
      <c r="AL81" s="835"/>
      <c r="AM81" s="835"/>
      <c r="AN81" s="836"/>
      <c r="AO81" s="776"/>
      <c r="AP81" s="777"/>
      <c r="AQ81" s="777"/>
      <c r="AR81" s="780"/>
    </row>
    <row r="82" spans="3:44" ht="18" customHeight="1">
      <c r="C82" s="781"/>
      <c r="D82" s="782"/>
      <c r="E82" s="783"/>
      <c r="F82" s="493"/>
      <c r="G82" s="493"/>
      <c r="H82" s="493"/>
      <c r="I82" s="493"/>
      <c r="J82" s="493"/>
      <c r="K82" s="493"/>
      <c r="L82" s="493"/>
      <c r="M82" s="493"/>
      <c r="N82" s="493"/>
      <c r="O82" s="493"/>
      <c r="P82" s="493"/>
      <c r="Q82" s="493"/>
      <c r="R82" s="493"/>
      <c r="S82" s="493"/>
      <c r="T82" s="493"/>
      <c r="U82" s="493"/>
      <c r="V82" s="837"/>
      <c r="W82" s="838"/>
      <c r="X82" s="839"/>
      <c r="Y82" s="837"/>
      <c r="Z82" s="838"/>
      <c r="AA82" s="838"/>
      <c r="AB82" s="839"/>
      <c r="AC82" s="868"/>
      <c r="AD82" s="869"/>
      <c r="AE82" s="869"/>
      <c r="AF82" s="870"/>
      <c r="AG82" s="491"/>
      <c r="AH82" s="491"/>
      <c r="AI82" s="491"/>
      <c r="AJ82" s="491"/>
      <c r="AK82" s="491"/>
      <c r="AL82" s="491"/>
      <c r="AM82" s="491"/>
      <c r="AN82" s="491"/>
      <c r="AO82" s="491"/>
      <c r="AP82" s="491"/>
      <c r="AQ82" s="491"/>
      <c r="AR82" s="492"/>
    </row>
    <row r="83" spans="3:44" ht="18" customHeight="1">
      <c r="C83" s="758"/>
      <c r="D83" s="759"/>
      <c r="E83" s="760"/>
      <c r="F83" s="493"/>
      <c r="G83" s="493"/>
      <c r="H83" s="493"/>
      <c r="I83" s="493"/>
      <c r="J83" s="493"/>
      <c r="K83" s="493"/>
      <c r="L83" s="493"/>
      <c r="M83" s="493"/>
      <c r="N83" s="493"/>
      <c r="O83" s="493"/>
      <c r="P83" s="493"/>
      <c r="Q83" s="493"/>
      <c r="R83" s="493"/>
      <c r="S83" s="493"/>
      <c r="T83" s="493"/>
      <c r="U83" s="493"/>
      <c r="V83" s="466"/>
      <c r="W83" s="467"/>
      <c r="X83" s="468"/>
      <c r="Y83" s="466"/>
      <c r="Z83" s="467"/>
      <c r="AA83" s="467"/>
      <c r="AB83" s="468"/>
      <c r="AC83" s="828"/>
      <c r="AD83" s="829"/>
      <c r="AE83" s="829"/>
      <c r="AF83" s="830"/>
      <c r="AG83" s="491"/>
      <c r="AH83" s="491"/>
      <c r="AI83" s="491"/>
      <c r="AJ83" s="491"/>
      <c r="AK83" s="491"/>
      <c r="AL83" s="491"/>
      <c r="AM83" s="491"/>
      <c r="AN83" s="491"/>
      <c r="AO83" s="491"/>
      <c r="AP83" s="491"/>
      <c r="AQ83" s="491"/>
      <c r="AR83" s="492"/>
    </row>
    <row r="84" spans="3:44" ht="18" customHeight="1">
      <c r="C84" s="758"/>
      <c r="D84" s="759"/>
      <c r="E84" s="760"/>
      <c r="F84" s="493"/>
      <c r="G84" s="493"/>
      <c r="H84" s="493"/>
      <c r="I84" s="493"/>
      <c r="J84" s="493"/>
      <c r="K84" s="493"/>
      <c r="L84" s="493"/>
      <c r="M84" s="493"/>
      <c r="N84" s="493"/>
      <c r="O84" s="493"/>
      <c r="P84" s="493"/>
      <c r="Q84" s="493"/>
      <c r="R84" s="493"/>
      <c r="S84" s="493"/>
      <c r="T84" s="493"/>
      <c r="U84" s="493"/>
      <c r="V84" s="466"/>
      <c r="W84" s="467"/>
      <c r="X84" s="468"/>
      <c r="Y84" s="466"/>
      <c r="Z84" s="467"/>
      <c r="AA84" s="467"/>
      <c r="AB84" s="468"/>
      <c r="AC84" s="828"/>
      <c r="AD84" s="829"/>
      <c r="AE84" s="829"/>
      <c r="AF84" s="830"/>
      <c r="AG84" s="491"/>
      <c r="AH84" s="491"/>
      <c r="AI84" s="491"/>
      <c r="AJ84" s="491"/>
      <c r="AK84" s="491"/>
      <c r="AL84" s="491"/>
      <c r="AM84" s="491"/>
      <c r="AN84" s="491"/>
      <c r="AO84" s="491"/>
      <c r="AP84" s="491"/>
      <c r="AQ84" s="491"/>
      <c r="AR84" s="492"/>
    </row>
    <row r="85" spans="3:44" ht="18" customHeight="1">
      <c r="C85" s="758"/>
      <c r="D85" s="759"/>
      <c r="E85" s="760"/>
      <c r="F85" s="493"/>
      <c r="G85" s="493"/>
      <c r="H85" s="493"/>
      <c r="I85" s="493"/>
      <c r="J85" s="493"/>
      <c r="K85" s="493"/>
      <c r="L85" s="493"/>
      <c r="M85" s="493"/>
      <c r="N85" s="493"/>
      <c r="O85" s="493"/>
      <c r="P85" s="493"/>
      <c r="Q85" s="493"/>
      <c r="R85" s="493"/>
      <c r="S85" s="493"/>
      <c r="T85" s="493"/>
      <c r="U85" s="493"/>
      <c r="V85" s="466"/>
      <c r="W85" s="467"/>
      <c r="X85" s="468"/>
      <c r="Y85" s="466"/>
      <c r="Z85" s="467"/>
      <c r="AA85" s="467"/>
      <c r="AB85" s="468"/>
      <c r="AC85" s="828"/>
      <c r="AD85" s="829"/>
      <c r="AE85" s="829"/>
      <c r="AF85" s="830"/>
      <c r="AG85" s="491"/>
      <c r="AH85" s="491"/>
      <c r="AI85" s="491"/>
      <c r="AJ85" s="491"/>
      <c r="AK85" s="491"/>
      <c r="AL85" s="491"/>
      <c r="AM85" s="491"/>
      <c r="AN85" s="491"/>
      <c r="AO85" s="491"/>
      <c r="AP85" s="491"/>
      <c r="AQ85" s="491"/>
      <c r="AR85" s="492"/>
    </row>
    <row r="86" spans="3:44" ht="18" customHeight="1">
      <c r="C86" s="758"/>
      <c r="D86" s="759"/>
      <c r="E86" s="760"/>
      <c r="F86" s="493"/>
      <c r="G86" s="493"/>
      <c r="H86" s="493"/>
      <c r="I86" s="493"/>
      <c r="J86" s="493"/>
      <c r="K86" s="493"/>
      <c r="L86" s="493"/>
      <c r="M86" s="493"/>
      <c r="N86" s="493"/>
      <c r="O86" s="493"/>
      <c r="P86" s="493"/>
      <c r="Q86" s="493"/>
      <c r="R86" s="493"/>
      <c r="S86" s="493"/>
      <c r="T86" s="493"/>
      <c r="U86" s="493"/>
      <c r="V86" s="466"/>
      <c r="W86" s="467"/>
      <c r="X86" s="468"/>
      <c r="Y86" s="466"/>
      <c r="Z86" s="467"/>
      <c r="AA86" s="467"/>
      <c r="AB86" s="468"/>
      <c r="AC86" s="828"/>
      <c r="AD86" s="829"/>
      <c r="AE86" s="829"/>
      <c r="AF86" s="830"/>
      <c r="AG86" s="491"/>
      <c r="AH86" s="491"/>
      <c r="AI86" s="491"/>
      <c r="AJ86" s="491"/>
      <c r="AK86" s="491"/>
      <c r="AL86" s="491"/>
      <c r="AM86" s="491"/>
      <c r="AN86" s="491"/>
      <c r="AO86" s="491"/>
      <c r="AP86" s="491"/>
      <c r="AQ86" s="491"/>
      <c r="AR86" s="492"/>
    </row>
    <row r="87" spans="3:44" ht="18" customHeight="1">
      <c r="C87" s="758"/>
      <c r="D87" s="759"/>
      <c r="E87" s="760"/>
      <c r="F87" s="493"/>
      <c r="G87" s="493"/>
      <c r="H87" s="493"/>
      <c r="I87" s="493"/>
      <c r="J87" s="493"/>
      <c r="K87" s="493"/>
      <c r="L87" s="493"/>
      <c r="M87" s="493"/>
      <c r="N87" s="493"/>
      <c r="O87" s="493"/>
      <c r="P87" s="493"/>
      <c r="Q87" s="493"/>
      <c r="R87" s="493"/>
      <c r="S87" s="493"/>
      <c r="T87" s="493"/>
      <c r="U87" s="493"/>
      <c r="V87" s="466"/>
      <c r="W87" s="467"/>
      <c r="X87" s="468"/>
      <c r="Y87" s="466"/>
      <c r="Z87" s="467"/>
      <c r="AA87" s="467"/>
      <c r="AB87" s="468"/>
      <c r="AC87" s="828"/>
      <c r="AD87" s="829"/>
      <c r="AE87" s="829"/>
      <c r="AF87" s="830"/>
      <c r="AG87" s="491"/>
      <c r="AH87" s="491"/>
      <c r="AI87" s="491"/>
      <c r="AJ87" s="491"/>
      <c r="AK87" s="491"/>
      <c r="AL87" s="491"/>
      <c r="AM87" s="491"/>
      <c r="AN87" s="491"/>
      <c r="AO87" s="491"/>
      <c r="AP87" s="491"/>
      <c r="AQ87" s="491"/>
      <c r="AR87" s="492"/>
    </row>
    <row r="88" spans="3:44" ht="18" customHeight="1">
      <c r="C88" s="758"/>
      <c r="D88" s="759"/>
      <c r="E88" s="760"/>
      <c r="F88" s="796"/>
      <c r="G88" s="797"/>
      <c r="H88" s="797"/>
      <c r="I88" s="797"/>
      <c r="J88" s="797"/>
      <c r="K88" s="797"/>
      <c r="L88" s="797"/>
      <c r="M88" s="797"/>
      <c r="N88" s="797"/>
      <c r="O88" s="797"/>
      <c r="P88" s="797"/>
      <c r="Q88" s="797"/>
      <c r="R88" s="797"/>
      <c r="S88" s="797"/>
      <c r="T88" s="797"/>
      <c r="U88" s="798"/>
      <c r="V88" s="466"/>
      <c r="W88" s="467"/>
      <c r="X88" s="468"/>
      <c r="Y88" s="466"/>
      <c r="Z88" s="467"/>
      <c r="AA88" s="467"/>
      <c r="AB88" s="468"/>
      <c r="AC88" s="828"/>
      <c r="AD88" s="829"/>
      <c r="AE88" s="829"/>
      <c r="AF88" s="830"/>
      <c r="AG88" s="466"/>
      <c r="AH88" s="467"/>
      <c r="AI88" s="467"/>
      <c r="AJ88" s="468"/>
      <c r="AK88" s="466"/>
      <c r="AL88" s="467"/>
      <c r="AM88" s="467"/>
      <c r="AN88" s="468"/>
      <c r="AO88" s="466"/>
      <c r="AP88" s="467"/>
      <c r="AQ88" s="467"/>
      <c r="AR88" s="823"/>
    </row>
    <row r="89" spans="3:44" ht="18" customHeight="1">
      <c r="C89" s="758"/>
      <c r="D89" s="759"/>
      <c r="E89" s="760"/>
      <c r="F89" s="796"/>
      <c r="G89" s="797"/>
      <c r="H89" s="797"/>
      <c r="I89" s="797"/>
      <c r="J89" s="797"/>
      <c r="K89" s="797"/>
      <c r="L89" s="797"/>
      <c r="M89" s="797"/>
      <c r="N89" s="797"/>
      <c r="O89" s="797"/>
      <c r="P89" s="797"/>
      <c r="Q89" s="797"/>
      <c r="R89" s="797"/>
      <c r="S89" s="797"/>
      <c r="T89" s="797"/>
      <c r="U89" s="798"/>
      <c r="V89" s="466"/>
      <c r="W89" s="467"/>
      <c r="X89" s="468"/>
      <c r="Y89" s="466"/>
      <c r="Z89" s="467"/>
      <c r="AA89" s="467"/>
      <c r="AB89" s="468"/>
      <c r="AC89" s="828"/>
      <c r="AD89" s="829"/>
      <c r="AE89" s="829"/>
      <c r="AF89" s="830"/>
      <c r="AG89" s="466"/>
      <c r="AH89" s="467"/>
      <c r="AI89" s="467"/>
      <c r="AJ89" s="468"/>
      <c r="AK89" s="466"/>
      <c r="AL89" s="467"/>
      <c r="AM89" s="467"/>
      <c r="AN89" s="468"/>
      <c r="AO89" s="466"/>
      <c r="AP89" s="467"/>
      <c r="AQ89" s="467"/>
      <c r="AR89" s="823"/>
    </row>
    <row r="90" spans="3:44" ht="18" customHeight="1">
      <c r="C90" s="743"/>
      <c r="D90" s="744"/>
      <c r="E90" s="744"/>
      <c r="F90" s="744"/>
      <c r="G90" s="744"/>
      <c r="H90" s="744"/>
      <c r="I90" s="744"/>
      <c r="J90" s="744"/>
      <c r="K90" s="744"/>
      <c r="L90" s="744"/>
      <c r="M90" s="744"/>
      <c r="N90" s="744"/>
      <c r="O90" s="744"/>
      <c r="P90" s="744"/>
      <c r="Q90" s="744"/>
      <c r="R90" s="744"/>
      <c r="S90" s="744"/>
      <c r="T90" s="744"/>
      <c r="U90" s="744"/>
      <c r="V90" s="744"/>
      <c r="W90" s="744"/>
      <c r="X90" s="824"/>
      <c r="Y90" s="825" t="s">
        <v>74</v>
      </c>
      <c r="Z90" s="826"/>
      <c r="AA90" s="826"/>
      <c r="AB90" s="826"/>
      <c r="AC90" s="826"/>
      <c r="AD90" s="826"/>
      <c r="AE90" s="826"/>
      <c r="AF90" s="826"/>
      <c r="AG90" s="826"/>
      <c r="AH90" s="826"/>
      <c r="AI90" s="826"/>
      <c r="AJ90" s="826"/>
      <c r="AK90" s="826"/>
      <c r="AL90" s="826"/>
      <c r="AM90" s="826"/>
      <c r="AN90" s="827"/>
      <c r="AO90" s="477">
        <f>SUM(AO82:AR89)</f>
        <v>0</v>
      </c>
      <c r="AP90" s="746"/>
      <c r="AQ90" s="746"/>
      <c r="AR90" s="747"/>
    </row>
    <row r="92" spans="3:44" ht="18" customHeight="1">
      <c r="C92" s="794" t="s">
        <v>43</v>
      </c>
      <c r="D92" s="774"/>
      <c r="E92" s="775"/>
      <c r="F92" s="773" t="s">
        <v>75</v>
      </c>
      <c r="G92" s="774"/>
      <c r="H92" s="774"/>
      <c r="I92" s="774"/>
      <c r="J92" s="774"/>
      <c r="K92" s="774"/>
      <c r="L92" s="774"/>
      <c r="M92" s="774"/>
      <c r="N92" s="774"/>
      <c r="O92" s="774"/>
      <c r="P92" s="774"/>
      <c r="Q92" s="774"/>
      <c r="R92" s="774"/>
      <c r="S92" s="774"/>
      <c r="T92" s="774"/>
      <c r="U92" s="774"/>
      <c r="V92" s="774"/>
      <c r="W92" s="774"/>
      <c r="X92" s="774"/>
      <c r="Y92" s="774"/>
      <c r="Z92" s="774"/>
      <c r="AA92" s="774"/>
      <c r="AB92" s="775"/>
      <c r="AC92" s="773" t="s">
        <v>76</v>
      </c>
      <c r="AD92" s="774"/>
      <c r="AE92" s="774"/>
      <c r="AF92" s="775"/>
      <c r="AG92" s="773" t="s">
        <v>249</v>
      </c>
      <c r="AH92" s="774"/>
      <c r="AI92" s="774"/>
      <c r="AJ92" s="775"/>
      <c r="AK92" s="773" t="s">
        <v>77</v>
      </c>
      <c r="AL92" s="774"/>
      <c r="AM92" s="774"/>
      <c r="AN92" s="775"/>
      <c r="AO92" s="773" t="s">
        <v>71</v>
      </c>
      <c r="AP92" s="774"/>
      <c r="AQ92" s="774"/>
      <c r="AR92" s="779"/>
    </row>
    <row r="93" spans="3:44" ht="18" customHeight="1">
      <c r="C93" s="795"/>
      <c r="D93" s="777"/>
      <c r="E93" s="778"/>
      <c r="F93" s="776"/>
      <c r="G93" s="777"/>
      <c r="H93" s="777"/>
      <c r="I93" s="777"/>
      <c r="J93" s="777"/>
      <c r="K93" s="777"/>
      <c r="L93" s="777"/>
      <c r="M93" s="777"/>
      <c r="N93" s="777"/>
      <c r="O93" s="777"/>
      <c r="P93" s="777"/>
      <c r="Q93" s="777"/>
      <c r="R93" s="777"/>
      <c r="S93" s="777"/>
      <c r="T93" s="777"/>
      <c r="U93" s="777"/>
      <c r="V93" s="777"/>
      <c r="W93" s="777"/>
      <c r="X93" s="777"/>
      <c r="Y93" s="777"/>
      <c r="Z93" s="777"/>
      <c r="AA93" s="777"/>
      <c r="AB93" s="778"/>
      <c r="AC93" s="776"/>
      <c r="AD93" s="777"/>
      <c r="AE93" s="777"/>
      <c r="AF93" s="778"/>
      <c r="AG93" s="776"/>
      <c r="AH93" s="777"/>
      <c r="AI93" s="777"/>
      <c r="AJ93" s="778"/>
      <c r="AK93" s="776"/>
      <c r="AL93" s="777"/>
      <c r="AM93" s="777"/>
      <c r="AN93" s="778"/>
      <c r="AO93" s="776"/>
      <c r="AP93" s="777"/>
      <c r="AQ93" s="777"/>
      <c r="AR93" s="780"/>
    </row>
    <row r="94" spans="3:44" ht="18" customHeight="1">
      <c r="C94" s="781"/>
      <c r="D94" s="782"/>
      <c r="E94" s="783"/>
      <c r="F94" s="493"/>
      <c r="G94" s="493"/>
      <c r="H94" s="493"/>
      <c r="I94" s="493"/>
      <c r="J94" s="493"/>
      <c r="K94" s="493"/>
      <c r="L94" s="493"/>
      <c r="M94" s="493"/>
      <c r="N94" s="493"/>
      <c r="O94" s="493"/>
      <c r="P94" s="493"/>
      <c r="Q94" s="493"/>
      <c r="R94" s="493"/>
      <c r="S94" s="493"/>
      <c r="T94" s="493"/>
      <c r="U94" s="493"/>
      <c r="V94" s="493"/>
      <c r="W94" s="493"/>
      <c r="X94" s="493"/>
      <c r="Y94" s="493"/>
      <c r="Z94" s="493"/>
      <c r="AA94" s="493"/>
      <c r="AB94" s="493"/>
      <c r="AC94" s="770"/>
      <c r="AD94" s="771"/>
      <c r="AE94" s="771"/>
      <c r="AF94" s="790"/>
      <c r="AG94" s="770"/>
      <c r="AH94" s="771"/>
      <c r="AI94" s="771"/>
      <c r="AJ94" s="790"/>
      <c r="AK94" s="449"/>
      <c r="AL94" s="449"/>
      <c r="AM94" s="449"/>
      <c r="AN94" s="449"/>
      <c r="AO94" s="491"/>
      <c r="AP94" s="491"/>
      <c r="AQ94" s="491"/>
      <c r="AR94" s="492"/>
    </row>
    <row r="95" spans="3:44" ht="18" customHeight="1">
      <c r="C95" s="758"/>
      <c r="D95" s="759"/>
      <c r="E95" s="760"/>
      <c r="F95" s="493"/>
      <c r="G95" s="493"/>
      <c r="H95" s="493"/>
      <c r="I95" s="493"/>
      <c r="J95" s="493"/>
      <c r="K95" s="493"/>
      <c r="L95" s="493"/>
      <c r="M95" s="493"/>
      <c r="N95" s="493"/>
      <c r="O95" s="493"/>
      <c r="P95" s="493"/>
      <c r="Q95" s="493"/>
      <c r="R95" s="493"/>
      <c r="S95" s="493"/>
      <c r="T95" s="493"/>
      <c r="U95" s="493"/>
      <c r="V95" s="493"/>
      <c r="W95" s="493"/>
      <c r="X95" s="493"/>
      <c r="Y95" s="493"/>
      <c r="Z95" s="493"/>
      <c r="AA95" s="493"/>
      <c r="AB95" s="493"/>
      <c r="AC95" s="740"/>
      <c r="AD95" s="741"/>
      <c r="AE95" s="741"/>
      <c r="AF95" s="757"/>
      <c r="AG95" s="740"/>
      <c r="AH95" s="741"/>
      <c r="AI95" s="741"/>
      <c r="AJ95" s="757"/>
      <c r="AK95" s="449"/>
      <c r="AL95" s="449"/>
      <c r="AM95" s="449"/>
      <c r="AN95" s="449"/>
      <c r="AO95" s="491"/>
      <c r="AP95" s="491"/>
      <c r="AQ95" s="491"/>
      <c r="AR95" s="492"/>
    </row>
    <row r="96" spans="3:44" ht="18" customHeight="1">
      <c r="C96" s="758"/>
      <c r="D96" s="759"/>
      <c r="E96" s="760"/>
      <c r="F96" s="796"/>
      <c r="G96" s="797"/>
      <c r="H96" s="797"/>
      <c r="I96" s="797"/>
      <c r="J96" s="797"/>
      <c r="K96" s="797"/>
      <c r="L96" s="797"/>
      <c r="M96" s="797"/>
      <c r="N96" s="797"/>
      <c r="O96" s="797"/>
      <c r="P96" s="797"/>
      <c r="Q96" s="797"/>
      <c r="R96" s="797"/>
      <c r="S96" s="797"/>
      <c r="T96" s="797"/>
      <c r="U96" s="797"/>
      <c r="V96" s="797"/>
      <c r="W96" s="797"/>
      <c r="X96" s="797"/>
      <c r="Y96" s="797"/>
      <c r="Z96" s="797"/>
      <c r="AA96" s="797"/>
      <c r="AB96" s="798"/>
      <c r="AC96" s="740"/>
      <c r="AD96" s="741"/>
      <c r="AE96" s="741"/>
      <c r="AF96" s="757"/>
      <c r="AG96" s="740"/>
      <c r="AH96" s="741"/>
      <c r="AI96" s="741"/>
      <c r="AJ96" s="757"/>
      <c r="AK96" s="740"/>
      <c r="AL96" s="741"/>
      <c r="AM96" s="741"/>
      <c r="AN96" s="757"/>
      <c r="AO96" s="466"/>
      <c r="AP96" s="467"/>
      <c r="AQ96" s="467"/>
      <c r="AR96" s="823"/>
    </row>
    <row r="97" spans="3:44" ht="18" customHeight="1">
      <c r="C97" s="758"/>
      <c r="D97" s="759"/>
      <c r="E97" s="760"/>
      <c r="F97" s="796"/>
      <c r="G97" s="797"/>
      <c r="H97" s="797"/>
      <c r="I97" s="797"/>
      <c r="J97" s="797"/>
      <c r="K97" s="797"/>
      <c r="L97" s="797"/>
      <c r="M97" s="797"/>
      <c r="N97" s="797"/>
      <c r="O97" s="797"/>
      <c r="P97" s="797"/>
      <c r="Q97" s="797"/>
      <c r="R97" s="797"/>
      <c r="S97" s="797"/>
      <c r="T97" s="797"/>
      <c r="U97" s="797"/>
      <c r="V97" s="797"/>
      <c r="W97" s="797"/>
      <c r="X97" s="797"/>
      <c r="Y97" s="797"/>
      <c r="Z97" s="797"/>
      <c r="AA97" s="797"/>
      <c r="AB97" s="798"/>
      <c r="AC97" s="740"/>
      <c r="AD97" s="741"/>
      <c r="AE97" s="741"/>
      <c r="AF97" s="757"/>
      <c r="AG97" s="740"/>
      <c r="AH97" s="741"/>
      <c r="AI97" s="741"/>
      <c r="AJ97" s="757"/>
      <c r="AK97" s="740"/>
      <c r="AL97" s="741"/>
      <c r="AM97" s="741"/>
      <c r="AN97" s="757"/>
      <c r="AO97" s="466"/>
      <c r="AP97" s="467"/>
      <c r="AQ97" s="467"/>
      <c r="AR97" s="823"/>
    </row>
    <row r="98" spans="3:44" ht="18" customHeight="1">
      <c r="C98" s="758"/>
      <c r="D98" s="759"/>
      <c r="E98" s="760"/>
      <c r="F98" s="796"/>
      <c r="G98" s="797"/>
      <c r="H98" s="797"/>
      <c r="I98" s="797"/>
      <c r="J98" s="797"/>
      <c r="K98" s="797"/>
      <c r="L98" s="797"/>
      <c r="M98" s="797"/>
      <c r="N98" s="797"/>
      <c r="O98" s="797"/>
      <c r="P98" s="797"/>
      <c r="Q98" s="797"/>
      <c r="R98" s="797"/>
      <c r="S98" s="797"/>
      <c r="T98" s="797"/>
      <c r="U98" s="797"/>
      <c r="V98" s="797"/>
      <c r="W98" s="797"/>
      <c r="X98" s="797"/>
      <c r="Y98" s="797"/>
      <c r="Z98" s="797"/>
      <c r="AA98" s="797"/>
      <c r="AB98" s="798"/>
      <c r="AC98" s="740"/>
      <c r="AD98" s="741"/>
      <c r="AE98" s="741"/>
      <c r="AF98" s="757"/>
      <c r="AG98" s="740"/>
      <c r="AH98" s="741"/>
      <c r="AI98" s="741"/>
      <c r="AJ98" s="757"/>
      <c r="AK98" s="740"/>
      <c r="AL98" s="741"/>
      <c r="AM98" s="741"/>
      <c r="AN98" s="757"/>
      <c r="AO98" s="466"/>
      <c r="AP98" s="467"/>
      <c r="AQ98" s="467"/>
      <c r="AR98" s="823"/>
    </row>
    <row r="99" spans="3:44" ht="18" customHeight="1">
      <c r="C99" s="758"/>
      <c r="D99" s="759"/>
      <c r="E99" s="760"/>
      <c r="F99" s="796"/>
      <c r="G99" s="797"/>
      <c r="H99" s="797"/>
      <c r="I99" s="797"/>
      <c r="J99" s="797"/>
      <c r="K99" s="797"/>
      <c r="L99" s="797"/>
      <c r="M99" s="797"/>
      <c r="N99" s="797"/>
      <c r="O99" s="797"/>
      <c r="P99" s="797"/>
      <c r="Q99" s="797"/>
      <c r="R99" s="797"/>
      <c r="S99" s="797"/>
      <c r="T99" s="797"/>
      <c r="U99" s="797"/>
      <c r="V99" s="797"/>
      <c r="W99" s="797"/>
      <c r="X99" s="797"/>
      <c r="Y99" s="797"/>
      <c r="Z99" s="797"/>
      <c r="AA99" s="797"/>
      <c r="AB99" s="798"/>
      <c r="AC99" s="740"/>
      <c r="AD99" s="741"/>
      <c r="AE99" s="741"/>
      <c r="AF99" s="757"/>
      <c r="AG99" s="740"/>
      <c r="AH99" s="741"/>
      <c r="AI99" s="741"/>
      <c r="AJ99" s="757"/>
      <c r="AK99" s="740"/>
      <c r="AL99" s="741"/>
      <c r="AM99" s="741"/>
      <c r="AN99" s="757"/>
      <c r="AO99" s="466"/>
      <c r="AP99" s="467"/>
      <c r="AQ99" s="467"/>
      <c r="AR99" s="823"/>
    </row>
    <row r="100" spans="3:44" ht="18" customHeight="1">
      <c r="C100" s="758"/>
      <c r="D100" s="759"/>
      <c r="E100" s="760"/>
      <c r="F100" s="796"/>
      <c r="G100" s="797"/>
      <c r="H100" s="797"/>
      <c r="I100" s="797"/>
      <c r="J100" s="797"/>
      <c r="K100" s="797"/>
      <c r="L100" s="797"/>
      <c r="M100" s="797"/>
      <c r="N100" s="797"/>
      <c r="O100" s="797"/>
      <c r="P100" s="797"/>
      <c r="Q100" s="797"/>
      <c r="R100" s="797"/>
      <c r="S100" s="797"/>
      <c r="T100" s="797"/>
      <c r="U100" s="797"/>
      <c r="V100" s="797"/>
      <c r="W100" s="797"/>
      <c r="X100" s="797"/>
      <c r="Y100" s="797"/>
      <c r="Z100" s="797"/>
      <c r="AA100" s="797"/>
      <c r="AB100" s="798"/>
      <c r="AC100" s="740"/>
      <c r="AD100" s="741"/>
      <c r="AE100" s="741"/>
      <c r="AF100" s="757"/>
      <c r="AG100" s="740"/>
      <c r="AH100" s="741"/>
      <c r="AI100" s="741"/>
      <c r="AJ100" s="757"/>
      <c r="AK100" s="740"/>
      <c r="AL100" s="741"/>
      <c r="AM100" s="741"/>
      <c r="AN100" s="757"/>
      <c r="AO100" s="466"/>
      <c r="AP100" s="467"/>
      <c r="AQ100" s="467"/>
      <c r="AR100" s="823"/>
    </row>
    <row r="101" spans="3:44" ht="18" customHeight="1">
      <c r="C101" s="758"/>
      <c r="D101" s="759"/>
      <c r="E101" s="760"/>
      <c r="F101" s="796"/>
      <c r="G101" s="797"/>
      <c r="H101" s="797"/>
      <c r="I101" s="797"/>
      <c r="J101" s="797"/>
      <c r="K101" s="797"/>
      <c r="L101" s="797"/>
      <c r="M101" s="797"/>
      <c r="N101" s="797"/>
      <c r="O101" s="797"/>
      <c r="P101" s="797"/>
      <c r="Q101" s="797"/>
      <c r="R101" s="797"/>
      <c r="S101" s="797"/>
      <c r="T101" s="797"/>
      <c r="U101" s="797"/>
      <c r="V101" s="797"/>
      <c r="W101" s="797"/>
      <c r="X101" s="797"/>
      <c r="Y101" s="797"/>
      <c r="Z101" s="797"/>
      <c r="AA101" s="797"/>
      <c r="AB101" s="798"/>
      <c r="AC101" s="740"/>
      <c r="AD101" s="741"/>
      <c r="AE101" s="741"/>
      <c r="AF101" s="757"/>
      <c r="AG101" s="740"/>
      <c r="AH101" s="741"/>
      <c r="AI101" s="741"/>
      <c r="AJ101" s="757"/>
      <c r="AK101" s="740"/>
      <c r="AL101" s="741"/>
      <c r="AM101" s="741"/>
      <c r="AN101" s="757"/>
      <c r="AO101" s="466"/>
      <c r="AP101" s="467"/>
      <c r="AQ101" s="467"/>
      <c r="AR101" s="823"/>
    </row>
    <row r="102" spans="3:44" ht="18" customHeight="1">
      <c r="C102" s="814"/>
      <c r="D102" s="815"/>
      <c r="E102" s="815"/>
      <c r="F102" s="815"/>
      <c r="G102" s="815"/>
      <c r="H102" s="815"/>
      <c r="I102" s="815"/>
      <c r="J102" s="815"/>
      <c r="K102" s="815"/>
      <c r="L102" s="815"/>
      <c r="M102" s="815"/>
      <c r="N102" s="815"/>
      <c r="O102" s="815"/>
      <c r="P102" s="815"/>
      <c r="Q102" s="815"/>
      <c r="R102" s="815"/>
      <c r="S102" s="815"/>
      <c r="T102" s="815"/>
      <c r="U102" s="815"/>
      <c r="V102" s="815"/>
      <c r="W102" s="815"/>
      <c r="X102" s="815"/>
      <c r="Y102" s="816" t="s">
        <v>78</v>
      </c>
      <c r="Z102" s="816"/>
      <c r="AA102" s="816"/>
      <c r="AB102" s="816"/>
      <c r="AC102" s="816"/>
      <c r="AD102" s="816"/>
      <c r="AE102" s="816"/>
      <c r="AF102" s="483"/>
      <c r="AG102" s="817" t="s">
        <v>363</v>
      </c>
      <c r="AH102" s="818"/>
      <c r="AI102" s="818"/>
      <c r="AJ102" s="819"/>
      <c r="AK102" s="466">
        <f>SUM(AO94:AR101)</f>
        <v>0</v>
      </c>
      <c r="AL102" s="467"/>
      <c r="AM102" s="467"/>
      <c r="AN102" s="468"/>
      <c r="AO102" s="820">
        <f>ROUND(AG102*AK102,2)</f>
        <v>0</v>
      </c>
      <c r="AP102" s="821"/>
      <c r="AQ102" s="821"/>
      <c r="AR102" s="822"/>
    </row>
    <row r="103" spans="3:44" ht="18" customHeight="1">
      <c r="C103" s="743"/>
      <c r="D103" s="744"/>
      <c r="E103" s="744"/>
      <c r="F103" s="744"/>
      <c r="G103" s="744"/>
      <c r="H103" s="744"/>
      <c r="I103" s="744"/>
      <c r="J103" s="744"/>
      <c r="K103" s="744"/>
      <c r="L103" s="744"/>
      <c r="M103" s="744"/>
      <c r="N103" s="744"/>
      <c r="O103" s="744"/>
      <c r="P103" s="744"/>
      <c r="Q103" s="744"/>
      <c r="R103" s="744"/>
      <c r="S103" s="744"/>
      <c r="T103" s="744"/>
      <c r="U103" s="744"/>
      <c r="V103" s="744"/>
      <c r="W103" s="744"/>
      <c r="X103" s="744"/>
      <c r="Y103" s="745" t="s">
        <v>79</v>
      </c>
      <c r="Z103" s="745"/>
      <c r="AA103" s="745"/>
      <c r="AB103" s="745"/>
      <c r="AC103" s="745"/>
      <c r="AD103" s="745"/>
      <c r="AE103" s="745"/>
      <c r="AF103" s="745"/>
      <c r="AG103" s="745"/>
      <c r="AH103" s="745"/>
      <c r="AI103" s="745"/>
      <c r="AJ103" s="745"/>
      <c r="AK103" s="745"/>
      <c r="AL103" s="745"/>
      <c r="AM103" s="745"/>
      <c r="AN103" s="430"/>
      <c r="AO103" s="477">
        <f>SUM(AO94:AR102)</f>
        <v>0</v>
      </c>
      <c r="AP103" s="746"/>
      <c r="AQ103" s="746"/>
      <c r="AR103" s="747"/>
    </row>
    <row r="105" spans="3:44" ht="18" customHeight="1">
      <c r="C105" s="802"/>
      <c r="D105" s="803"/>
      <c r="E105" s="803"/>
      <c r="F105" s="803"/>
      <c r="G105" s="803"/>
      <c r="H105" s="803"/>
      <c r="I105" s="803"/>
      <c r="J105" s="803"/>
      <c r="K105" s="803"/>
      <c r="L105" s="803"/>
      <c r="M105" s="803"/>
      <c r="N105" s="803"/>
      <c r="O105" s="803"/>
      <c r="P105" s="803"/>
      <c r="Q105" s="803"/>
      <c r="R105" s="803"/>
      <c r="S105" s="803"/>
      <c r="T105" s="803"/>
      <c r="U105" s="803"/>
      <c r="V105" s="803"/>
      <c r="W105" s="803"/>
      <c r="X105" s="803"/>
      <c r="Y105" s="804" t="s">
        <v>80</v>
      </c>
      <c r="Z105" s="805"/>
      <c r="AA105" s="805"/>
      <c r="AB105" s="805"/>
      <c r="AC105" s="805"/>
      <c r="AD105" s="805"/>
      <c r="AE105" s="805"/>
      <c r="AF105" s="805"/>
      <c r="AG105" s="805"/>
      <c r="AH105" s="805"/>
      <c r="AI105" s="805"/>
      <c r="AJ105" s="805"/>
      <c r="AK105" s="805"/>
      <c r="AL105" s="805"/>
      <c r="AM105" s="805"/>
      <c r="AN105" s="806"/>
      <c r="AO105" s="807">
        <f>AO90+AO103</f>
        <v>0</v>
      </c>
      <c r="AP105" s="808"/>
      <c r="AQ105" s="808"/>
      <c r="AR105" s="809"/>
    </row>
    <row r="106" spans="3:44" ht="18" customHeight="1">
      <c r="C106" s="810" t="s">
        <v>81</v>
      </c>
      <c r="D106" s="745"/>
      <c r="E106" s="745"/>
      <c r="F106" s="745"/>
      <c r="G106" s="745"/>
      <c r="H106" s="745"/>
      <c r="I106" s="745"/>
      <c r="J106" s="745"/>
      <c r="K106" s="745"/>
      <c r="L106" s="745"/>
      <c r="M106" s="745"/>
      <c r="N106" s="745"/>
      <c r="O106" s="745"/>
      <c r="P106" s="430"/>
      <c r="Q106" s="477">
        <v>1</v>
      </c>
      <c r="R106" s="746"/>
      <c r="S106" s="746"/>
      <c r="T106" s="746"/>
      <c r="U106" s="746"/>
      <c r="V106" s="745" t="s">
        <v>189</v>
      </c>
      <c r="W106" s="745"/>
      <c r="X106" s="430"/>
      <c r="Y106" s="804" t="s">
        <v>82</v>
      </c>
      <c r="Z106" s="805"/>
      <c r="AA106" s="805"/>
      <c r="AB106" s="805"/>
      <c r="AC106" s="805"/>
      <c r="AD106" s="805"/>
      <c r="AE106" s="805"/>
      <c r="AF106" s="805"/>
      <c r="AG106" s="805"/>
      <c r="AH106" s="805"/>
      <c r="AI106" s="805"/>
      <c r="AJ106" s="805"/>
      <c r="AK106" s="805"/>
      <c r="AL106" s="805"/>
      <c r="AM106" s="805"/>
      <c r="AN106" s="806"/>
      <c r="AO106" s="811">
        <f>ROUND(AO105/Q106,2)</f>
        <v>0</v>
      </c>
      <c r="AP106" s="812"/>
      <c r="AQ106" s="812"/>
      <c r="AR106" s="813"/>
    </row>
    <row r="108" spans="3:44" ht="18" customHeight="1">
      <c r="C108" s="794" t="s">
        <v>43</v>
      </c>
      <c r="D108" s="774"/>
      <c r="E108" s="775"/>
      <c r="F108" s="773" t="s">
        <v>83</v>
      </c>
      <c r="G108" s="774"/>
      <c r="H108" s="774"/>
      <c r="I108" s="774"/>
      <c r="J108" s="774"/>
      <c r="K108" s="774"/>
      <c r="L108" s="774"/>
      <c r="M108" s="774"/>
      <c r="N108" s="774"/>
      <c r="O108" s="774"/>
      <c r="P108" s="774"/>
      <c r="Q108" s="774"/>
      <c r="R108" s="774"/>
      <c r="S108" s="774"/>
      <c r="T108" s="774"/>
      <c r="U108" s="774"/>
      <c r="V108" s="774"/>
      <c r="W108" s="774"/>
      <c r="X108" s="774"/>
      <c r="Y108" s="774"/>
      <c r="Z108" s="774"/>
      <c r="AA108" s="774"/>
      <c r="AB108" s="775"/>
      <c r="AC108" s="773" t="s">
        <v>84</v>
      </c>
      <c r="AD108" s="774"/>
      <c r="AE108" s="774"/>
      <c r="AF108" s="775"/>
      <c r="AG108" s="773" t="s">
        <v>85</v>
      </c>
      <c r="AH108" s="774"/>
      <c r="AI108" s="774"/>
      <c r="AJ108" s="775"/>
      <c r="AK108" s="773" t="s">
        <v>86</v>
      </c>
      <c r="AL108" s="774"/>
      <c r="AM108" s="774"/>
      <c r="AN108" s="775"/>
      <c r="AO108" s="773" t="s">
        <v>87</v>
      </c>
      <c r="AP108" s="774"/>
      <c r="AQ108" s="774"/>
      <c r="AR108" s="779"/>
    </row>
    <row r="109" spans="3:44" ht="18" customHeight="1">
      <c r="C109" s="795"/>
      <c r="D109" s="777"/>
      <c r="E109" s="778"/>
      <c r="F109" s="776"/>
      <c r="G109" s="777"/>
      <c r="H109" s="777"/>
      <c r="I109" s="777"/>
      <c r="J109" s="777"/>
      <c r="K109" s="777"/>
      <c r="L109" s="777"/>
      <c r="M109" s="777"/>
      <c r="N109" s="777"/>
      <c r="O109" s="777"/>
      <c r="P109" s="777"/>
      <c r="Q109" s="777"/>
      <c r="R109" s="777"/>
      <c r="S109" s="777"/>
      <c r="T109" s="777"/>
      <c r="U109" s="777"/>
      <c r="V109" s="777"/>
      <c r="W109" s="777"/>
      <c r="X109" s="777"/>
      <c r="Y109" s="777"/>
      <c r="Z109" s="777"/>
      <c r="AA109" s="777"/>
      <c r="AB109" s="778"/>
      <c r="AC109" s="776"/>
      <c r="AD109" s="777"/>
      <c r="AE109" s="777"/>
      <c r="AF109" s="778"/>
      <c r="AG109" s="776"/>
      <c r="AH109" s="777"/>
      <c r="AI109" s="777"/>
      <c r="AJ109" s="778"/>
      <c r="AK109" s="776"/>
      <c r="AL109" s="777"/>
      <c r="AM109" s="777"/>
      <c r="AN109" s="778"/>
      <c r="AO109" s="776"/>
      <c r="AP109" s="777"/>
      <c r="AQ109" s="777"/>
      <c r="AR109" s="780"/>
    </row>
    <row r="110" spans="3:44" ht="18" customHeight="1">
      <c r="C110" s="781"/>
      <c r="D110" s="782"/>
      <c r="E110" s="783"/>
      <c r="F110" s="493" t="s">
        <v>356</v>
      </c>
      <c r="G110" s="493"/>
      <c r="H110" s="493"/>
      <c r="I110" s="493"/>
      <c r="J110" s="493"/>
      <c r="K110" s="493"/>
      <c r="L110" s="493"/>
      <c r="M110" s="493"/>
      <c r="N110" s="493"/>
      <c r="O110" s="493"/>
      <c r="P110" s="493"/>
      <c r="Q110" s="493"/>
      <c r="R110" s="493"/>
      <c r="S110" s="493"/>
      <c r="T110" s="493"/>
      <c r="U110" s="493"/>
      <c r="V110" s="493"/>
      <c r="W110" s="493"/>
      <c r="X110" s="493"/>
      <c r="Y110" s="493"/>
      <c r="Z110" s="493"/>
      <c r="AA110" s="493"/>
      <c r="AB110" s="493"/>
      <c r="AC110" s="464" t="s">
        <v>246</v>
      </c>
      <c r="AD110" s="464"/>
      <c r="AE110" s="464"/>
      <c r="AF110" s="464"/>
      <c r="AG110" s="491">
        <v>3.16</v>
      </c>
      <c r="AH110" s="491"/>
      <c r="AI110" s="491"/>
      <c r="AJ110" s="491"/>
      <c r="AK110" s="424">
        <v>11.62</v>
      </c>
      <c r="AL110" s="424"/>
      <c r="AM110" s="424"/>
      <c r="AN110" s="424"/>
      <c r="AO110" s="449">
        <f>ROUND(AG110*AK110,2)</f>
        <v>36.72</v>
      </c>
      <c r="AP110" s="449"/>
      <c r="AQ110" s="449"/>
      <c r="AR110" s="450"/>
    </row>
    <row r="111" spans="3:44" ht="18" customHeight="1">
      <c r="C111" s="758" t="s">
        <v>366</v>
      </c>
      <c r="D111" s="759"/>
      <c r="E111" s="760"/>
      <c r="F111" s="796" t="s">
        <v>364</v>
      </c>
      <c r="G111" s="797"/>
      <c r="H111" s="797"/>
      <c r="I111" s="797"/>
      <c r="J111" s="797"/>
      <c r="K111" s="797"/>
      <c r="L111" s="797"/>
      <c r="M111" s="797"/>
      <c r="N111" s="797"/>
      <c r="O111" s="797"/>
      <c r="P111" s="797"/>
      <c r="Q111" s="797"/>
      <c r="R111" s="797"/>
      <c r="S111" s="797"/>
      <c r="T111" s="797"/>
      <c r="U111" s="797"/>
      <c r="V111" s="797"/>
      <c r="W111" s="797"/>
      <c r="X111" s="797"/>
      <c r="Y111" s="797"/>
      <c r="Z111" s="797"/>
      <c r="AA111" s="797"/>
      <c r="AB111" s="798"/>
      <c r="AC111" s="799" t="s">
        <v>189</v>
      </c>
      <c r="AD111" s="800"/>
      <c r="AE111" s="800"/>
      <c r="AF111" s="801"/>
      <c r="AG111" s="466">
        <v>632.79999999999995</v>
      </c>
      <c r="AH111" s="467"/>
      <c r="AI111" s="467"/>
      <c r="AJ111" s="468"/>
      <c r="AK111" s="737">
        <v>1</v>
      </c>
      <c r="AL111" s="738"/>
      <c r="AM111" s="738"/>
      <c r="AN111" s="739"/>
      <c r="AO111" s="449">
        <f>ROUND(AG111*AK111,2)</f>
        <v>632.79999999999995</v>
      </c>
      <c r="AP111" s="449"/>
      <c r="AQ111" s="449"/>
      <c r="AR111" s="450"/>
    </row>
    <row r="112" spans="3:44" ht="18" customHeight="1">
      <c r="C112" s="758"/>
      <c r="D112" s="759"/>
      <c r="E112" s="760"/>
      <c r="F112" s="796">
        <v>0</v>
      </c>
      <c r="G112" s="797"/>
      <c r="H112" s="797"/>
      <c r="I112" s="797"/>
      <c r="J112" s="797"/>
      <c r="K112" s="797"/>
      <c r="L112" s="797"/>
      <c r="M112" s="797"/>
      <c r="N112" s="797"/>
      <c r="O112" s="797"/>
      <c r="P112" s="797"/>
      <c r="Q112" s="797"/>
      <c r="R112" s="797"/>
      <c r="S112" s="797"/>
      <c r="T112" s="797"/>
      <c r="U112" s="797"/>
      <c r="V112" s="797"/>
      <c r="W112" s="797"/>
      <c r="X112" s="797"/>
      <c r="Y112" s="797"/>
      <c r="Z112" s="797"/>
      <c r="AA112" s="797"/>
      <c r="AB112" s="798"/>
      <c r="AC112" s="799">
        <v>0</v>
      </c>
      <c r="AD112" s="800"/>
      <c r="AE112" s="800"/>
      <c r="AF112" s="801"/>
      <c r="AG112" s="466">
        <v>0</v>
      </c>
      <c r="AH112" s="467"/>
      <c r="AI112" s="467"/>
      <c r="AJ112" s="468"/>
      <c r="AK112" s="737"/>
      <c r="AL112" s="738"/>
      <c r="AM112" s="738"/>
      <c r="AN112" s="739"/>
      <c r="AO112" s="740">
        <f>ROUND(AG112*AK112,2)</f>
        <v>0</v>
      </c>
      <c r="AP112" s="741"/>
      <c r="AQ112" s="741"/>
      <c r="AR112" s="742"/>
    </row>
    <row r="113" spans="3:44" ht="18" customHeight="1">
      <c r="C113" s="758"/>
      <c r="D113" s="759"/>
      <c r="E113" s="760"/>
      <c r="F113" s="796">
        <v>0</v>
      </c>
      <c r="G113" s="797"/>
      <c r="H113" s="797"/>
      <c r="I113" s="797"/>
      <c r="J113" s="797"/>
      <c r="K113" s="797"/>
      <c r="L113" s="797"/>
      <c r="M113" s="797"/>
      <c r="N113" s="797"/>
      <c r="O113" s="797"/>
      <c r="P113" s="797"/>
      <c r="Q113" s="797"/>
      <c r="R113" s="797"/>
      <c r="S113" s="797"/>
      <c r="T113" s="797"/>
      <c r="U113" s="797"/>
      <c r="V113" s="797"/>
      <c r="W113" s="797"/>
      <c r="X113" s="797"/>
      <c r="Y113" s="797"/>
      <c r="Z113" s="797"/>
      <c r="AA113" s="797"/>
      <c r="AB113" s="798"/>
      <c r="AC113" s="799">
        <v>0</v>
      </c>
      <c r="AD113" s="800"/>
      <c r="AE113" s="800"/>
      <c r="AF113" s="801"/>
      <c r="AG113" s="466">
        <v>0</v>
      </c>
      <c r="AH113" s="467"/>
      <c r="AI113" s="467"/>
      <c r="AJ113" s="468"/>
      <c r="AK113" s="737"/>
      <c r="AL113" s="738"/>
      <c r="AM113" s="738"/>
      <c r="AN113" s="739"/>
      <c r="AO113" s="740">
        <f>ROUND(AG113*AK113,2)</f>
        <v>0</v>
      </c>
      <c r="AP113" s="741"/>
      <c r="AQ113" s="741"/>
      <c r="AR113" s="742"/>
    </row>
    <row r="114" spans="3:44" ht="18" customHeight="1">
      <c r="C114" s="758"/>
      <c r="D114" s="759"/>
      <c r="E114" s="760"/>
      <c r="F114" s="796">
        <v>0</v>
      </c>
      <c r="G114" s="797"/>
      <c r="H114" s="797"/>
      <c r="I114" s="797"/>
      <c r="J114" s="797"/>
      <c r="K114" s="797"/>
      <c r="L114" s="797"/>
      <c r="M114" s="797"/>
      <c r="N114" s="797"/>
      <c r="O114" s="797"/>
      <c r="P114" s="797"/>
      <c r="Q114" s="797"/>
      <c r="R114" s="797"/>
      <c r="S114" s="797"/>
      <c r="T114" s="797"/>
      <c r="U114" s="797"/>
      <c r="V114" s="797"/>
      <c r="W114" s="797"/>
      <c r="X114" s="797"/>
      <c r="Y114" s="797"/>
      <c r="Z114" s="797"/>
      <c r="AA114" s="797"/>
      <c r="AB114" s="798"/>
      <c r="AC114" s="799">
        <v>0</v>
      </c>
      <c r="AD114" s="800"/>
      <c r="AE114" s="800"/>
      <c r="AF114" s="801"/>
      <c r="AG114" s="466">
        <v>0</v>
      </c>
      <c r="AH114" s="467"/>
      <c r="AI114" s="467"/>
      <c r="AJ114" s="468"/>
      <c r="AK114" s="737"/>
      <c r="AL114" s="738"/>
      <c r="AM114" s="738"/>
      <c r="AN114" s="739"/>
      <c r="AO114" s="740">
        <f>ROUND(AG114*AK114,2)</f>
        <v>0</v>
      </c>
      <c r="AP114" s="741"/>
      <c r="AQ114" s="741"/>
      <c r="AR114" s="742"/>
    </row>
    <row r="115" spans="3:44" ht="18" customHeight="1">
      <c r="C115" s="758"/>
      <c r="D115" s="759"/>
      <c r="E115" s="760"/>
      <c r="F115" s="796"/>
      <c r="G115" s="797"/>
      <c r="H115" s="797"/>
      <c r="I115" s="797"/>
      <c r="J115" s="797"/>
      <c r="K115" s="797"/>
      <c r="L115" s="797"/>
      <c r="M115" s="797"/>
      <c r="N115" s="797"/>
      <c r="O115" s="797"/>
      <c r="P115" s="797"/>
      <c r="Q115" s="797"/>
      <c r="R115" s="797"/>
      <c r="S115" s="797"/>
      <c r="T115" s="797"/>
      <c r="U115" s="797"/>
      <c r="V115" s="797"/>
      <c r="W115" s="797"/>
      <c r="X115" s="797"/>
      <c r="Y115" s="797"/>
      <c r="Z115" s="797"/>
      <c r="AA115" s="797"/>
      <c r="AB115" s="798"/>
      <c r="AC115" s="799"/>
      <c r="AD115" s="800"/>
      <c r="AE115" s="800"/>
      <c r="AF115" s="801"/>
      <c r="AG115" s="466"/>
      <c r="AH115" s="467"/>
      <c r="AI115" s="467"/>
      <c r="AJ115" s="468"/>
      <c r="AK115" s="737"/>
      <c r="AL115" s="738"/>
      <c r="AM115" s="738"/>
      <c r="AN115" s="739"/>
      <c r="AO115" s="740"/>
      <c r="AP115" s="741"/>
      <c r="AQ115" s="741"/>
      <c r="AR115" s="742"/>
    </row>
    <row r="116" spans="3:44" ht="18" customHeight="1">
      <c r="C116" s="758"/>
      <c r="D116" s="759"/>
      <c r="E116" s="760"/>
      <c r="F116" s="796"/>
      <c r="G116" s="797"/>
      <c r="H116" s="797"/>
      <c r="I116" s="797"/>
      <c r="J116" s="797"/>
      <c r="K116" s="797"/>
      <c r="L116" s="797"/>
      <c r="M116" s="797"/>
      <c r="N116" s="797"/>
      <c r="O116" s="797"/>
      <c r="P116" s="797"/>
      <c r="Q116" s="797"/>
      <c r="R116" s="797"/>
      <c r="S116" s="797"/>
      <c r="T116" s="797"/>
      <c r="U116" s="797"/>
      <c r="V116" s="797"/>
      <c r="W116" s="797"/>
      <c r="X116" s="797"/>
      <c r="Y116" s="797"/>
      <c r="Z116" s="797"/>
      <c r="AA116" s="797"/>
      <c r="AB116" s="798"/>
      <c r="AC116" s="799"/>
      <c r="AD116" s="800"/>
      <c r="AE116" s="800"/>
      <c r="AF116" s="801"/>
      <c r="AG116" s="466"/>
      <c r="AH116" s="467"/>
      <c r="AI116" s="467"/>
      <c r="AJ116" s="468"/>
      <c r="AK116" s="737"/>
      <c r="AL116" s="738"/>
      <c r="AM116" s="738"/>
      <c r="AN116" s="739"/>
      <c r="AO116" s="740"/>
      <c r="AP116" s="741"/>
      <c r="AQ116" s="741"/>
      <c r="AR116" s="742"/>
    </row>
    <row r="117" spans="3:44" ht="18" customHeight="1">
      <c r="C117" s="758"/>
      <c r="D117" s="759"/>
      <c r="E117" s="760"/>
      <c r="F117" s="796"/>
      <c r="G117" s="797"/>
      <c r="H117" s="797"/>
      <c r="I117" s="797"/>
      <c r="J117" s="797"/>
      <c r="K117" s="797"/>
      <c r="L117" s="797"/>
      <c r="M117" s="797"/>
      <c r="N117" s="797"/>
      <c r="O117" s="797"/>
      <c r="P117" s="797"/>
      <c r="Q117" s="797"/>
      <c r="R117" s="797"/>
      <c r="S117" s="797"/>
      <c r="T117" s="797"/>
      <c r="U117" s="797"/>
      <c r="V117" s="797"/>
      <c r="W117" s="797"/>
      <c r="X117" s="797"/>
      <c r="Y117" s="797"/>
      <c r="Z117" s="797"/>
      <c r="AA117" s="797"/>
      <c r="AB117" s="798"/>
      <c r="AC117" s="799"/>
      <c r="AD117" s="800"/>
      <c r="AE117" s="800"/>
      <c r="AF117" s="801"/>
      <c r="AG117" s="466"/>
      <c r="AH117" s="467"/>
      <c r="AI117" s="467"/>
      <c r="AJ117" s="468"/>
      <c r="AK117" s="737"/>
      <c r="AL117" s="738"/>
      <c r="AM117" s="738"/>
      <c r="AN117" s="739"/>
      <c r="AO117" s="740"/>
      <c r="AP117" s="741"/>
      <c r="AQ117" s="741"/>
      <c r="AR117" s="742"/>
    </row>
    <row r="118" spans="3:44" ht="18" customHeight="1">
      <c r="C118" s="743"/>
      <c r="D118" s="744"/>
      <c r="E118" s="744"/>
      <c r="F118" s="744"/>
      <c r="G118" s="744"/>
      <c r="H118" s="744"/>
      <c r="I118" s="744"/>
      <c r="J118" s="744"/>
      <c r="K118" s="744"/>
      <c r="L118" s="744"/>
      <c r="M118" s="744"/>
      <c r="N118" s="744"/>
      <c r="O118" s="744"/>
      <c r="P118" s="744"/>
      <c r="Q118" s="744"/>
      <c r="R118" s="744"/>
      <c r="S118" s="744"/>
      <c r="T118" s="744"/>
      <c r="U118" s="744"/>
      <c r="V118" s="744"/>
      <c r="W118" s="744"/>
      <c r="X118" s="744"/>
      <c r="Y118" s="745" t="s">
        <v>88</v>
      </c>
      <c r="Z118" s="745"/>
      <c r="AA118" s="745"/>
      <c r="AB118" s="745"/>
      <c r="AC118" s="745"/>
      <c r="AD118" s="745"/>
      <c r="AE118" s="745"/>
      <c r="AF118" s="745"/>
      <c r="AG118" s="745"/>
      <c r="AH118" s="745"/>
      <c r="AI118" s="745"/>
      <c r="AJ118" s="745"/>
      <c r="AK118" s="745"/>
      <c r="AL118" s="745"/>
      <c r="AM118" s="745"/>
      <c r="AN118" s="430"/>
      <c r="AO118" s="477">
        <f>SUM(AO110:AR117)</f>
        <v>669.52</v>
      </c>
      <c r="AP118" s="746"/>
      <c r="AQ118" s="746"/>
      <c r="AR118" s="747"/>
    </row>
    <row r="120" spans="3:44" ht="18" customHeight="1">
      <c r="C120" s="794" t="s">
        <v>43</v>
      </c>
      <c r="D120" s="774"/>
      <c r="E120" s="775"/>
      <c r="F120" s="773" t="s">
        <v>89</v>
      </c>
      <c r="G120" s="774"/>
      <c r="H120" s="774"/>
      <c r="I120" s="774"/>
      <c r="J120" s="774"/>
      <c r="K120" s="774"/>
      <c r="L120" s="774"/>
      <c r="M120" s="774"/>
      <c r="N120" s="774"/>
      <c r="O120" s="774"/>
      <c r="P120" s="774"/>
      <c r="Q120" s="774"/>
      <c r="R120" s="775"/>
      <c r="S120" s="773" t="s">
        <v>90</v>
      </c>
      <c r="T120" s="774"/>
      <c r="U120" s="775"/>
      <c r="V120" s="773" t="s">
        <v>91</v>
      </c>
      <c r="W120" s="774"/>
      <c r="X120" s="775"/>
      <c r="Y120" s="773" t="s">
        <v>92</v>
      </c>
      <c r="Z120" s="774"/>
      <c r="AA120" s="774"/>
      <c r="AB120" s="774"/>
      <c r="AC120" s="774"/>
      <c r="AD120" s="775"/>
      <c r="AE120" s="773" t="s">
        <v>93</v>
      </c>
      <c r="AF120" s="774"/>
      <c r="AG120" s="775"/>
      <c r="AH120" s="773" t="s">
        <v>94</v>
      </c>
      <c r="AI120" s="774"/>
      <c r="AJ120" s="775"/>
      <c r="AK120" s="773" t="s">
        <v>86</v>
      </c>
      <c r="AL120" s="774"/>
      <c r="AM120" s="774"/>
      <c r="AN120" s="775"/>
      <c r="AO120" s="773" t="s">
        <v>87</v>
      </c>
      <c r="AP120" s="774"/>
      <c r="AQ120" s="774"/>
      <c r="AR120" s="779"/>
    </row>
    <row r="121" spans="3:44" ht="18" customHeight="1">
      <c r="C121" s="795"/>
      <c r="D121" s="777"/>
      <c r="E121" s="778"/>
      <c r="F121" s="776"/>
      <c r="G121" s="777"/>
      <c r="H121" s="777"/>
      <c r="I121" s="777"/>
      <c r="J121" s="777"/>
      <c r="K121" s="777"/>
      <c r="L121" s="777"/>
      <c r="M121" s="777"/>
      <c r="N121" s="777"/>
      <c r="O121" s="777"/>
      <c r="P121" s="777"/>
      <c r="Q121" s="777"/>
      <c r="R121" s="778"/>
      <c r="S121" s="776"/>
      <c r="T121" s="777"/>
      <c r="U121" s="778"/>
      <c r="V121" s="776"/>
      <c r="W121" s="777"/>
      <c r="X121" s="778"/>
      <c r="Y121" s="776"/>
      <c r="Z121" s="777"/>
      <c r="AA121" s="777"/>
      <c r="AB121" s="777"/>
      <c r="AC121" s="777"/>
      <c r="AD121" s="778"/>
      <c r="AE121" s="776"/>
      <c r="AF121" s="777"/>
      <c r="AG121" s="778"/>
      <c r="AH121" s="776"/>
      <c r="AI121" s="777"/>
      <c r="AJ121" s="778"/>
      <c r="AK121" s="776"/>
      <c r="AL121" s="777"/>
      <c r="AM121" s="777"/>
      <c r="AN121" s="778"/>
      <c r="AO121" s="776"/>
      <c r="AP121" s="777"/>
      <c r="AQ121" s="777"/>
      <c r="AR121" s="780"/>
    </row>
    <row r="122" spans="3:44" ht="18" customHeight="1">
      <c r="C122" s="781"/>
      <c r="D122" s="782"/>
      <c r="E122" s="783"/>
      <c r="F122" s="457"/>
      <c r="G122" s="457"/>
      <c r="H122" s="457"/>
      <c r="I122" s="457"/>
      <c r="J122" s="457"/>
      <c r="K122" s="457"/>
      <c r="L122" s="457"/>
      <c r="M122" s="457"/>
      <c r="N122" s="457"/>
      <c r="O122" s="457"/>
      <c r="P122" s="457"/>
      <c r="Q122" s="457"/>
      <c r="R122" s="457"/>
      <c r="S122" s="784"/>
      <c r="T122" s="785"/>
      <c r="U122" s="786"/>
      <c r="V122" s="784"/>
      <c r="W122" s="785"/>
      <c r="X122" s="786"/>
      <c r="Y122" s="787"/>
      <c r="Z122" s="788"/>
      <c r="AA122" s="788"/>
      <c r="AB122" s="788"/>
      <c r="AC122" s="788"/>
      <c r="AD122" s="789"/>
      <c r="AE122" s="449"/>
      <c r="AF122" s="449"/>
      <c r="AG122" s="449"/>
      <c r="AH122" s="770"/>
      <c r="AI122" s="771"/>
      <c r="AJ122" s="790"/>
      <c r="AK122" s="791"/>
      <c r="AL122" s="792"/>
      <c r="AM122" s="792"/>
      <c r="AN122" s="793"/>
      <c r="AO122" s="770"/>
      <c r="AP122" s="771"/>
      <c r="AQ122" s="771"/>
      <c r="AR122" s="772"/>
    </row>
    <row r="123" spans="3:44" ht="18" customHeight="1">
      <c r="C123" s="758"/>
      <c r="D123" s="759"/>
      <c r="E123" s="760"/>
      <c r="F123" s="761"/>
      <c r="G123" s="762"/>
      <c r="H123" s="762"/>
      <c r="I123" s="762"/>
      <c r="J123" s="762"/>
      <c r="K123" s="762"/>
      <c r="L123" s="762"/>
      <c r="M123" s="762"/>
      <c r="N123" s="762"/>
      <c r="O123" s="762"/>
      <c r="P123" s="762"/>
      <c r="Q123" s="762"/>
      <c r="R123" s="763"/>
      <c r="S123" s="764"/>
      <c r="T123" s="765"/>
      <c r="U123" s="766"/>
      <c r="V123" s="764"/>
      <c r="W123" s="765"/>
      <c r="X123" s="766"/>
      <c r="Y123" s="767"/>
      <c r="Z123" s="768"/>
      <c r="AA123" s="768"/>
      <c r="AB123" s="768"/>
      <c r="AC123" s="768"/>
      <c r="AD123" s="769"/>
      <c r="AE123" s="740"/>
      <c r="AF123" s="741"/>
      <c r="AG123" s="757"/>
      <c r="AH123" s="740"/>
      <c r="AI123" s="741"/>
      <c r="AJ123" s="757"/>
      <c r="AK123" s="737"/>
      <c r="AL123" s="738"/>
      <c r="AM123" s="738"/>
      <c r="AN123" s="739"/>
      <c r="AO123" s="740">
        <f t="shared" ref="AO123:AO129" si="1">ROUND(AE123*AH123*AK123,2)</f>
        <v>0</v>
      </c>
      <c r="AP123" s="741"/>
      <c r="AQ123" s="741"/>
      <c r="AR123" s="742"/>
    </row>
    <row r="124" spans="3:44" ht="18" customHeight="1">
      <c r="C124" s="758"/>
      <c r="D124" s="759"/>
      <c r="E124" s="760"/>
      <c r="F124" s="761"/>
      <c r="G124" s="762"/>
      <c r="H124" s="762"/>
      <c r="I124" s="762"/>
      <c r="J124" s="762"/>
      <c r="K124" s="762"/>
      <c r="L124" s="762"/>
      <c r="M124" s="762"/>
      <c r="N124" s="762"/>
      <c r="O124" s="762"/>
      <c r="P124" s="762"/>
      <c r="Q124" s="762"/>
      <c r="R124" s="763"/>
      <c r="S124" s="764"/>
      <c r="T124" s="765"/>
      <c r="U124" s="766"/>
      <c r="V124" s="764"/>
      <c r="W124" s="765"/>
      <c r="X124" s="766"/>
      <c r="Y124" s="767"/>
      <c r="Z124" s="768"/>
      <c r="AA124" s="768"/>
      <c r="AB124" s="768"/>
      <c r="AC124" s="768"/>
      <c r="AD124" s="769"/>
      <c r="AE124" s="740"/>
      <c r="AF124" s="741"/>
      <c r="AG124" s="757"/>
      <c r="AH124" s="740"/>
      <c r="AI124" s="741"/>
      <c r="AJ124" s="757"/>
      <c r="AK124" s="737"/>
      <c r="AL124" s="738"/>
      <c r="AM124" s="738"/>
      <c r="AN124" s="739"/>
      <c r="AO124" s="740">
        <f t="shared" si="1"/>
        <v>0</v>
      </c>
      <c r="AP124" s="741"/>
      <c r="AQ124" s="741"/>
      <c r="AR124" s="742"/>
    </row>
    <row r="125" spans="3:44" ht="18" customHeight="1">
      <c r="C125" s="758"/>
      <c r="D125" s="759"/>
      <c r="E125" s="760"/>
      <c r="F125" s="761"/>
      <c r="G125" s="762"/>
      <c r="H125" s="762"/>
      <c r="I125" s="762"/>
      <c r="J125" s="762"/>
      <c r="K125" s="762"/>
      <c r="L125" s="762"/>
      <c r="M125" s="762"/>
      <c r="N125" s="762"/>
      <c r="O125" s="762"/>
      <c r="P125" s="762"/>
      <c r="Q125" s="762"/>
      <c r="R125" s="763"/>
      <c r="S125" s="764"/>
      <c r="T125" s="765"/>
      <c r="U125" s="766"/>
      <c r="V125" s="764"/>
      <c r="W125" s="765"/>
      <c r="X125" s="766"/>
      <c r="Y125" s="767"/>
      <c r="Z125" s="768"/>
      <c r="AA125" s="768"/>
      <c r="AB125" s="768"/>
      <c r="AC125" s="768"/>
      <c r="AD125" s="769"/>
      <c r="AE125" s="740"/>
      <c r="AF125" s="741"/>
      <c r="AG125" s="757"/>
      <c r="AH125" s="740"/>
      <c r="AI125" s="741"/>
      <c r="AJ125" s="757"/>
      <c r="AK125" s="737"/>
      <c r="AL125" s="738"/>
      <c r="AM125" s="738"/>
      <c r="AN125" s="739"/>
      <c r="AO125" s="740">
        <f t="shared" si="1"/>
        <v>0</v>
      </c>
      <c r="AP125" s="741"/>
      <c r="AQ125" s="741"/>
      <c r="AR125" s="742"/>
    </row>
    <row r="126" spans="3:44" ht="18" customHeight="1">
      <c r="C126" s="758"/>
      <c r="D126" s="759"/>
      <c r="E126" s="760"/>
      <c r="F126" s="761"/>
      <c r="G126" s="762"/>
      <c r="H126" s="762"/>
      <c r="I126" s="762"/>
      <c r="J126" s="762"/>
      <c r="K126" s="762"/>
      <c r="L126" s="762"/>
      <c r="M126" s="762"/>
      <c r="N126" s="762"/>
      <c r="O126" s="762"/>
      <c r="P126" s="762"/>
      <c r="Q126" s="762"/>
      <c r="R126" s="763"/>
      <c r="S126" s="764"/>
      <c r="T126" s="765"/>
      <c r="U126" s="766"/>
      <c r="V126" s="764"/>
      <c r="W126" s="765"/>
      <c r="X126" s="766"/>
      <c r="Y126" s="767"/>
      <c r="Z126" s="768"/>
      <c r="AA126" s="768"/>
      <c r="AB126" s="768"/>
      <c r="AC126" s="768"/>
      <c r="AD126" s="769"/>
      <c r="AE126" s="740"/>
      <c r="AF126" s="741"/>
      <c r="AG126" s="757"/>
      <c r="AH126" s="740"/>
      <c r="AI126" s="741"/>
      <c r="AJ126" s="757"/>
      <c r="AK126" s="737"/>
      <c r="AL126" s="738"/>
      <c r="AM126" s="738"/>
      <c r="AN126" s="739"/>
      <c r="AO126" s="740">
        <f t="shared" si="1"/>
        <v>0</v>
      </c>
      <c r="AP126" s="741"/>
      <c r="AQ126" s="741"/>
      <c r="AR126" s="742"/>
    </row>
    <row r="127" spans="3:44" ht="18" customHeight="1">
      <c r="C127" s="758"/>
      <c r="D127" s="759"/>
      <c r="E127" s="760"/>
      <c r="F127" s="761"/>
      <c r="G127" s="762"/>
      <c r="H127" s="762"/>
      <c r="I127" s="762"/>
      <c r="J127" s="762"/>
      <c r="K127" s="762"/>
      <c r="L127" s="762"/>
      <c r="M127" s="762"/>
      <c r="N127" s="762"/>
      <c r="O127" s="762"/>
      <c r="P127" s="762"/>
      <c r="Q127" s="762"/>
      <c r="R127" s="763"/>
      <c r="S127" s="764"/>
      <c r="T127" s="765"/>
      <c r="U127" s="766"/>
      <c r="V127" s="764"/>
      <c r="W127" s="765"/>
      <c r="X127" s="766"/>
      <c r="Y127" s="767"/>
      <c r="Z127" s="768"/>
      <c r="AA127" s="768"/>
      <c r="AB127" s="768"/>
      <c r="AC127" s="768"/>
      <c r="AD127" s="769"/>
      <c r="AE127" s="740"/>
      <c r="AF127" s="741"/>
      <c r="AG127" s="757"/>
      <c r="AH127" s="740"/>
      <c r="AI127" s="741"/>
      <c r="AJ127" s="757"/>
      <c r="AK127" s="737"/>
      <c r="AL127" s="738"/>
      <c r="AM127" s="738"/>
      <c r="AN127" s="739"/>
      <c r="AO127" s="740">
        <f t="shared" si="1"/>
        <v>0</v>
      </c>
      <c r="AP127" s="741"/>
      <c r="AQ127" s="741"/>
      <c r="AR127" s="742"/>
    </row>
    <row r="128" spans="3:44" ht="18" customHeight="1">
      <c r="C128" s="758"/>
      <c r="D128" s="759"/>
      <c r="E128" s="760"/>
      <c r="F128" s="761"/>
      <c r="G128" s="762"/>
      <c r="H128" s="762"/>
      <c r="I128" s="762"/>
      <c r="J128" s="762"/>
      <c r="K128" s="762"/>
      <c r="L128" s="762"/>
      <c r="M128" s="762"/>
      <c r="N128" s="762"/>
      <c r="O128" s="762"/>
      <c r="P128" s="762"/>
      <c r="Q128" s="762"/>
      <c r="R128" s="763"/>
      <c r="S128" s="764"/>
      <c r="T128" s="765"/>
      <c r="U128" s="766"/>
      <c r="V128" s="764"/>
      <c r="W128" s="765"/>
      <c r="X128" s="766"/>
      <c r="Y128" s="767"/>
      <c r="Z128" s="768"/>
      <c r="AA128" s="768"/>
      <c r="AB128" s="768"/>
      <c r="AC128" s="768"/>
      <c r="AD128" s="769"/>
      <c r="AE128" s="740"/>
      <c r="AF128" s="741"/>
      <c r="AG128" s="757"/>
      <c r="AH128" s="740"/>
      <c r="AI128" s="741"/>
      <c r="AJ128" s="757"/>
      <c r="AK128" s="737"/>
      <c r="AL128" s="738"/>
      <c r="AM128" s="738"/>
      <c r="AN128" s="739"/>
      <c r="AO128" s="740">
        <f t="shared" si="1"/>
        <v>0</v>
      </c>
      <c r="AP128" s="741"/>
      <c r="AQ128" s="741"/>
      <c r="AR128" s="742"/>
    </row>
    <row r="129" spans="1:44" ht="18" customHeight="1">
      <c r="C129" s="758"/>
      <c r="D129" s="759"/>
      <c r="E129" s="760"/>
      <c r="F129" s="761"/>
      <c r="G129" s="762"/>
      <c r="H129" s="762"/>
      <c r="I129" s="762"/>
      <c r="J129" s="762"/>
      <c r="K129" s="762"/>
      <c r="L129" s="762"/>
      <c r="M129" s="762"/>
      <c r="N129" s="762"/>
      <c r="O129" s="762"/>
      <c r="P129" s="762"/>
      <c r="Q129" s="762"/>
      <c r="R129" s="763"/>
      <c r="S129" s="764"/>
      <c r="T129" s="765"/>
      <c r="U129" s="766"/>
      <c r="V129" s="764"/>
      <c r="W129" s="765"/>
      <c r="X129" s="766"/>
      <c r="Y129" s="767"/>
      <c r="Z129" s="768"/>
      <c r="AA129" s="768"/>
      <c r="AB129" s="768"/>
      <c r="AC129" s="768"/>
      <c r="AD129" s="769"/>
      <c r="AE129" s="740"/>
      <c r="AF129" s="741"/>
      <c r="AG129" s="757"/>
      <c r="AH129" s="740"/>
      <c r="AI129" s="741"/>
      <c r="AJ129" s="757"/>
      <c r="AK129" s="737"/>
      <c r="AL129" s="738"/>
      <c r="AM129" s="738"/>
      <c r="AN129" s="739"/>
      <c r="AO129" s="740">
        <f t="shared" si="1"/>
        <v>0</v>
      </c>
      <c r="AP129" s="741"/>
      <c r="AQ129" s="741"/>
      <c r="AR129" s="742"/>
    </row>
    <row r="130" spans="1:44" ht="18" customHeight="1">
      <c r="C130" s="743"/>
      <c r="D130" s="744"/>
      <c r="E130" s="744"/>
      <c r="F130" s="744"/>
      <c r="G130" s="744"/>
      <c r="H130" s="744"/>
      <c r="I130" s="744"/>
      <c r="J130" s="744"/>
      <c r="K130" s="744"/>
      <c r="L130" s="744"/>
      <c r="M130" s="744"/>
      <c r="N130" s="744"/>
      <c r="O130" s="744"/>
      <c r="P130" s="744"/>
      <c r="Q130" s="744"/>
      <c r="R130" s="744"/>
      <c r="S130" s="744"/>
      <c r="T130" s="744"/>
      <c r="U130" s="744"/>
      <c r="V130" s="744"/>
      <c r="W130" s="744"/>
      <c r="X130" s="744"/>
      <c r="Y130" s="745" t="s">
        <v>95</v>
      </c>
      <c r="Z130" s="745"/>
      <c r="AA130" s="745"/>
      <c r="AB130" s="745"/>
      <c r="AC130" s="745"/>
      <c r="AD130" s="745"/>
      <c r="AE130" s="745"/>
      <c r="AF130" s="745"/>
      <c r="AG130" s="745"/>
      <c r="AH130" s="745"/>
      <c r="AI130" s="745"/>
      <c r="AJ130" s="745"/>
      <c r="AK130" s="745"/>
      <c r="AL130" s="745"/>
      <c r="AM130" s="745"/>
      <c r="AN130" s="430"/>
      <c r="AO130" s="477">
        <f>SUM(AO122:AR129)</f>
        <v>0</v>
      </c>
      <c r="AP130" s="746"/>
      <c r="AQ130" s="746"/>
      <c r="AR130" s="747"/>
    </row>
    <row r="132" spans="1:44" ht="18" customHeight="1">
      <c r="C132" s="434"/>
      <c r="D132" s="434"/>
      <c r="E132" s="434"/>
      <c r="F132" s="434"/>
      <c r="G132" s="434"/>
      <c r="H132" s="434"/>
      <c r="I132" s="434"/>
      <c r="J132" s="434"/>
      <c r="K132" s="434"/>
      <c r="L132" s="434"/>
      <c r="M132" s="434"/>
      <c r="N132" s="434"/>
      <c r="O132" s="434"/>
      <c r="P132" s="434"/>
      <c r="Q132" s="434"/>
      <c r="R132" s="434"/>
      <c r="S132" s="434"/>
      <c r="T132" s="434"/>
      <c r="U132" s="434"/>
      <c r="V132" s="434"/>
      <c r="W132" s="434"/>
      <c r="X132" s="748"/>
      <c r="Y132" s="749" t="s">
        <v>96</v>
      </c>
      <c r="Z132" s="750"/>
      <c r="AA132" s="750"/>
      <c r="AB132" s="750"/>
      <c r="AC132" s="750"/>
      <c r="AD132" s="750"/>
      <c r="AE132" s="750"/>
      <c r="AF132" s="750"/>
      <c r="AG132" s="750"/>
      <c r="AH132" s="750"/>
      <c r="AI132" s="750"/>
      <c r="AJ132" s="750"/>
      <c r="AK132" s="750"/>
      <c r="AL132" s="750"/>
      <c r="AM132" s="750"/>
      <c r="AN132" s="751"/>
      <c r="AO132" s="752">
        <f>AO106+AO118+AO130</f>
        <v>669.52</v>
      </c>
      <c r="AP132" s="753"/>
      <c r="AQ132" s="753"/>
      <c r="AR132" s="754"/>
    </row>
    <row r="133" spans="1:44" ht="18" customHeight="1">
      <c r="C133" s="434"/>
      <c r="D133" s="434"/>
      <c r="E133" s="434"/>
      <c r="F133" s="434"/>
      <c r="G133" s="434"/>
      <c r="H133" s="434"/>
      <c r="I133" s="434"/>
      <c r="J133" s="434"/>
      <c r="K133" s="434"/>
      <c r="L133" s="434"/>
      <c r="M133" s="434"/>
      <c r="N133" s="434"/>
      <c r="O133" s="434"/>
      <c r="P133" s="434"/>
      <c r="Q133" s="434"/>
      <c r="R133" s="434"/>
      <c r="S133" s="434"/>
      <c r="T133" s="434"/>
      <c r="U133" s="434"/>
      <c r="V133" s="434"/>
      <c r="W133" s="434"/>
      <c r="X133" s="748"/>
      <c r="Y133" s="755" t="s">
        <v>97</v>
      </c>
      <c r="Z133" s="756"/>
      <c r="AA133" s="756"/>
      <c r="AB133" s="756"/>
      <c r="AC133" s="756"/>
      <c r="AD133" s="756"/>
      <c r="AE133" s="756"/>
      <c r="AF133" s="756"/>
      <c r="AG133" s="756"/>
      <c r="AH133" s="442">
        <v>0.2031</v>
      </c>
      <c r="AI133" s="442"/>
      <c r="AJ133" s="442"/>
      <c r="AK133" s="442"/>
      <c r="AL133" s="442"/>
      <c r="AM133" s="442"/>
      <c r="AN133" s="443"/>
      <c r="AO133" s="728">
        <f>ROUND(AO132*AH133,2)</f>
        <v>135.97999999999999</v>
      </c>
      <c r="AP133" s="729"/>
      <c r="AQ133" s="729"/>
      <c r="AR133" s="730"/>
    </row>
    <row r="134" spans="1:44" ht="18" customHeight="1">
      <c r="A134" s="415" t="s">
        <v>358</v>
      </c>
      <c r="B134" s="415"/>
      <c r="C134" s="434"/>
      <c r="D134" s="434"/>
      <c r="E134" s="434"/>
      <c r="F134" s="434"/>
      <c r="G134" s="434"/>
      <c r="H134" s="434"/>
      <c r="I134" s="434"/>
      <c r="J134" s="434"/>
      <c r="K134" s="434"/>
      <c r="L134" s="434"/>
      <c r="M134" s="434"/>
      <c r="N134" s="434"/>
      <c r="O134" s="434"/>
      <c r="P134" s="434"/>
      <c r="Q134" s="434"/>
      <c r="R134" s="434"/>
      <c r="S134" s="434"/>
      <c r="T134" s="434"/>
      <c r="U134" s="434"/>
      <c r="V134" s="434"/>
      <c r="W134" s="434"/>
      <c r="X134" s="748"/>
      <c r="Y134" s="731" t="s">
        <v>98</v>
      </c>
      <c r="Z134" s="732"/>
      <c r="AA134" s="732"/>
      <c r="AB134" s="732"/>
      <c r="AC134" s="732"/>
      <c r="AD134" s="732"/>
      <c r="AE134" s="732"/>
      <c r="AF134" s="732"/>
      <c r="AG134" s="732"/>
      <c r="AH134" s="732"/>
      <c r="AI134" s="732"/>
      <c r="AJ134" s="732"/>
      <c r="AK134" s="732"/>
      <c r="AL134" s="732"/>
      <c r="AM134" s="732"/>
      <c r="AN134" s="733"/>
      <c r="AO134" s="734">
        <f>SUM(AO132:AR133)</f>
        <v>805.5</v>
      </c>
      <c r="AP134" s="735"/>
      <c r="AQ134" s="735"/>
      <c r="AR134" s="736"/>
    </row>
    <row r="136" spans="1:44" ht="18" customHeight="1">
      <c r="C136" s="420" t="s">
        <v>99</v>
      </c>
      <c r="D136" s="421"/>
      <c r="E136" s="421"/>
      <c r="F136" s="421"/>
      <c r="G136" s="421"/>
      <c r="H136" s="421"/>
      <c r="I136" s="422"/>
      <c r="J136" s="422"/>
      <c r="K136" s="422"/>
      <c r="L136" s="422"/>
      <c r="M136" s="422"/>
      <c r="N136" s="422"/>
      <c r="O136" s="422"/>
      <c r="P136" s="422"/>
      <c r="Q136" s="422"/>
      <c r="R136" s="422"/>
      <c r="S136" s="422"/>
      <c r="T136" s="422"/>
      <c r="U136" s="422"/>
      <c r="V136" s="422"/>
      <c r="W136" s="422"/>
      <c r="X136" s="422"/>
      <c r="Y136" s="422"/>
      <c r="Z136" s="422"/>
      <c r="AA136" s="422"/>
      <c r="AB136" s="422"/>
      <c r="AC136" s="422"/>
      <c r="AD136" s="422"/>
      <c r="AE136" s="422"/>
      <c r="AF136" s="422"/>
      <c r="AG136" s="422"/>
      <c r="AH136" s="422"/>
      <c r="AI136" s="422"/>
      <c r="AJ136" s="422"/>
      <c r="AK136" s="422"/>
      <c r="AL136" s="422"/>
      <c r="AM136" s="422"/>
      <c r="AN136" s="422"/>
      <c r="AO136" s="422"/>
      <c r="AP136" s="422"/>
      <c r="AQ136" s="422"/>
      <c r="AR136" s="423"/>
    </row>
    <row r="137" spans="1:44" ht="18" customHeight="1">
      <c r="C137" s="411"/>
      <c r="D137" s="412"/>
      <c r="E137" s="412"/>
      <c r="F137" s="412"/>
      <c r="G137" s="412"/>
      <c r="H137" s="412"/>
      <c r="I137" s="409"/>
      <c r="J137" s="409"/>
      <c r="K137" s="409"/>
      <c r="L137" s="409"/>
      <c r="M137" s="409"/>
      <c r="N137" s="409"/>
      <c r="O137" s="409"/>
      <c r="P137" s="409"/>
      <c r="Q137" s="409"/>
      <c r="R137" s="409"/>
      <c r="S137" s="409"/>
      <c r="T137" s="409"/>
      <c r="U137" s="409"/>
      <c r="V137" s="409"/>
      <c r="W137" s="409"/>
      <c r="X137" s="409"/>
      <c r="Y137" s="409"/>
      <c r="Z137" s="409"/>
      <c r="AA137" s="409"/>
      <c r="AB137" s="409"/>
      <c r="AC137" s="409"/>
      <c r="AD137" s="409"/>
      <c r="AE137" s="409"/>
      <c r="AF137" s="409"/>
      <c r="AG137" s="409"/>
      <c r="AH137" s="409"/>
      <c r="AI137" s="409"/>
      <c r="AJ137" s="409"/>
      <c r="AK137" s="409"/>
      <c r="AL137" s="409"/>
      <c r="AM137" s="409"/>
      <c r="AN137" s="409"/>
      <c r="AO137" s="409"/>
      <c r="AP137" s="409"/>
      <c r="AQ137" s="409"/>
      <c r="AR137" s="410"/>
    </row>
    <row r="138" spans="1:44" ht="18" customHeight="1">
      <c r="C138" s="411"/>
      <c r="D138" s="412"/>
      <c r="E138" s="412"/>
      <c r="F138" s="412"/>
      <c r="G138" s="412"/>
      <c r="H138" s="412"/>
      <c r="I138" s="409"/>
      <c r="J138" s="409"/>
      <c r="K138" s="409"/>
      <c r="L138" s="409"/>
      <c r="M138" s="409"/>
      <c r="N138" s="409"/>
      <c r="O138" s="409"/>
      <c r="P138" s="409"/>
      <c r="Q138" s="409"/>
      <c r="R138" s="409"/>
      <c r="S138" s="409"/>
      <c r="T138" s="409"/>
      <c r="U138" s="409"/>
      <c r="V138" s="409"/>
      <c r="W138" s="409"/>
      <c r="X138" s="409"/>
      <c r="Y138" s="409"/>
      <c r="Z138" s="409"/>
      <c r="AA138" s="409"/>
      <c r="AB138" s="409"/>
      <c r="AC138" s="409"/>
      <c r="AD138" s="409"/>
      <c r="AE138" s="409"/>
      <c r="AF138" s="409"/>
      <c r="AG138" s="409"/>
      <c r="AH138" s="409"/>
      <c r="AI138" s="409"/>
      <c r="AJ138" s="409"/>
      <c r="AK138" s="409"/>
      <c r="AL138" s="409"/>
      <c r="AM138" s="409"/>
      <c r="AN138" s="409"/>
      <c r="AO138" s="409"/>
      <c r="AP138" s="409"/>
      <c r="AQ138" s="409"/>
      <c r="AR138" s="410"/>
    </row>
    <row r="139" spans="1:44" ht="18" customHeight="1">
      <c r="C139" s="411"/>
      <c r="D139" s="412"/>
      <c r="E139" s="412"/>
      <c r="F139" s="412"/>
      <c r="G139" s="412"/>
      <c r="H139" s="412"/>
      <c r="I139" s="409"/>
      <c r="J139" s="409"/>
      <c r="K139" s="409"/>
      <c r="L139" s="409"/>
      <c r="M139" s="409"/>
      <c r="N139" s="409"/>
      <c r="O139" s="409"/>
      <c r="P139" s="409"/>
      <c r="Q139" s="409"/>
      <c r="R139" s="409"/>
      <c r="S139" s="409"/>
      <c r="T139" s="409"/>
      <c r="U139" s="409"/>
      <c r="V139" s="409"/>
      <c r="W139" s="409"/>
      <c r="X139" s="409"/>
      <c r="Y139" s="409"/>
      <c r="Z139" s="409"/>
      <c r="AA139" s="409"/>
      <c r="AB139" s="409"/>
      <c r="AC139" s="409"/>
      <c r="AD139" s="409"/>
      <c r="AE139" s="409"/>
      <c r="AF139" s="409"/>
      <c r="AG139" s="409"/>
      <c r="AH139" s="409"/>
      <c r="AI139" s="409"/>
      <c r="AJ139" s="409"/>
      <c r="AK139" s="409"/>
      <c r="AL139" s="409"/>
      <c r="AM139" s="409"/>
      <c r="AN139" s="409"/>
      <c r="AO139" s="409"/>
      <c r="AP139" s="409"/>
      <c r="AQ139" s="409"/>
      <c r="AR139" s="410"/>
    </row>
    <row r="140" spans="1:44" ht="18" customHeight="1">
      <c r="C140" s="411"/>
      <c r="D140" s="412"/>
      <c r="E140" s="412"/>
      <c r="F140" s="412"/>
      <c r="G140" s="412"/>
      <c r="H140" s="412"/>
      <c r="I140" s="409"/>
      <c r="J140" s="409"/>
      <c r="K140" s="409"/>
      <c r="L140" s="409"/>
      <c r="M140" s="409"/>
      <c r="N140" s="409"/>
      <c r="O140" s="409"/>
      <c r="P140" s="409"/>
      <c r="Q140" s="409"/>
      <c r="R140" s="409"/>
      <c r="S140" s="409"/>
      <c r="T140" s="409"/>
      <c r="U140" s="409"/>
      <c r="V140" s="409"/>
      <c r="W140" s="409"/>
      <c r="X140" s="409"/>
      <c r="Y140" s="409"/>
      <c r="Z140" s="409"/>
      <c r="AA140" s="409"/>
      <c r="AB140" s="409"/>
      <c r="AC140" s="409"/>
      <c r="AD140" s="409"/>
      <c r="AE140" s="409"/>
      <c r="AF140" s="409"/>
      <c r="AG140" s="409"/>
      <c r="AH140" s="409"/>
      <c r="AI140" s="409"/>
      <c r="AJ140" s="409"/>
      <c r="AK140" s="409"/>
      <c r="AL140" s="409"/>
      <c r="AM140" s="409"/>
      <c r="AN140" s="409"/>
      <c r="AO140" s="409"/>
      <c r="AP140" s="409"/>
      <c r="AQ140" s="409"/>
      <c r="AR140" s="410"/>
    </row>
    <row r="141" spans="1:44" ht="18" customHeight="1">
      <c r="C141" s="385"/>
      <c r="D141" s="386"/>
      <c r="E141" s="386"/>
      <c r="F141" s="386"/>
      <c r="G141" s="386"/>
      <c r="H141" s="386"/>
      <c r="I141" s="387"/>
      <c r="J141" s="387"/>
      <c r="K141" s="387"/>
      <c r="L141" s="387"/>
      <c r="M141" s="387"/>
      <c r="N141" s="387"/>
      <c r="O141" s="387"/>
      <c r="P141" s="387"/>
      <c r="Q141" s="387"/>
      <c r="R141" s="387"/>
      <c r="S141" s="387"/>
      <c r="T141" s="387"/>
      <c r="U141" s="387"/>
      <c r="V141" s="387"/>
      <c r="W141" s="387"/>
      <c r="X141" s="387"/>
      <c r="Y141" s="387"/>
      <c r="Z141" s="387"/>
      <c r="AA141" s="387"/>
      <c r="AB141" s="387"/>
      <c r="AC141" s="387"/>
      <c r="AD141" s="387"/>
      <c r="AE141" s="387"/>
      <c r="AF141" s="387"/>
      <c r="AG141" s="387"/>
      <c r="AH141" s="387"/>
      <c r="AI141" s="387"/>
      <c r="AJ141" s="387"/>
      <c r="AK141" s="387"/>
      <c r="AL141" s="387"/>
      <c r="AM141" s="387"/>
      <c r="AN141" s="387"/>
      <c r="AO141" s="387"/>
      <c r="AP141" s="387"/>
      <c r="AQ141" s="387"/>
      <c r="AR141" s="388"/>
    </row>
    <row r="143" spans="1:44" ht="18" customHeight="1">
      <c r="C143" s="389" t="s">
        <v>100</v>
      </c>
      <c r="D143" s="390"/>
      <c r="E143" s="390"/>
      <c r="F143" s="390"/>
      <c r="G143" s="390"/>
      <c r="H143" s="390"/>
      <c r="I143" s="390"/>
      <c r="J143" s="390"/>
      <c r="K143" s="390"/>
      <c r="L143" s="390"/>
      <c r="M143" s="390"/>
      <c r="N143" s="390"/>
      <c r="O143" s="390"/>
      <c r="P143" s="390"/>
      <c r="Q143" s="390"/>
      <c r="R143" s="390"/>
      <c r="S143" s="390"/>
      <c r="T143" s="390"/>
      <c r="U143" s="390"/>
      <c r="V143" s="390"/>
      <c r="W143" s="390"/>
      <c r="X143" s="390"/>
      <c r="Y143" s="390"/>
      <c r="Z143" s="390"/>
      <c r="AA143" s="391"/>
      <c r="AB143" s="392" t="str">
        <f>[4]C.UNIT.SERV.!$E$5</f>
        <v>DATA-BASE:      MAIO/2011/PR</v>
      </c>
      <c r="AC143" s="393"/>
      <c r="AD143" s="393"/>
      <c r="AE143" s="393"/>
      <c r="AF143" s="393"/>
      <c r="AG143" s="393"/>
      <c r="AH143" s="393"/>
      <c r="AI143" s="394"/>
      <c r="AJ143" s="392"/>
      <c r="AK143" s="393"/>
      <c r="AL143" s="393"/>
      <c r="AM143" s="393"/>
      <c r="AN143" s="393"/>
      <c r="AO143" s="393"/>
      <c r="AP143" s="393"/>
      <c r="AQ143" s="393"/>
      <c r="AR143" s="401"/>
    </row>
    <row r="144" spans="1:44" ht="18" customHeight="1">
      <c r="C144" s="404" t="s">
        <v>101</v>
      </c>
      <c r="D144" s="405"/>
      <c r="E144" s="405"/>
      <c r="F144" s="405"/>
      <c r="G144" s="405" t="s">
        <v>283</v>
      </c>
      <c r="H144" s="405"/>
      <c r="I144" s="405"/>
      <c r="J144" s="405"/>
      <c r="K144" s="405"/>
      <c r="L144" s="405"/>
      <c r="M144" s="405"/>
      <c r="N144" s="405"/>
      <c r="O144" s="405"/>
      <c r="P144" s="405"/>
      <c r="Q144" s="405"/>
      <c r="R144" s="405"/>
      <c r="S144" s="405"/>
      <c r="T144" s="405"/>
      <c r="U144" s="405"/>
      <c r="V144" s="405"/>
      <c r="W144" s="405"/>
      <c r="X144" s="405"/>
      <c r="Y144" s="405"/>
      <c r="Z144" s="405"/>
      <c r="AA144" s="406"/>
      <c r="AB144" s="395"/>
      <c r="AC144" s="396"/>
      <c r="AD144" s="396"/>
      <c r="AE144" s="396"/>
      <c r="AF144" s="396"/>
      <c r="AG144" s="396"/>
      <c r="AH144" s="396"/>
      <c r="AI144" s="397"/>
      <c r="AJ144" s="395"/>
      <c r="AK144" s="396"/>
      <c r="AL144" s="396"/>
      <c r="AM144" s="396"/>
      <c r="AN144" s="396"/>
      <c r="AO144" s="396"/>
      <c r="AP144" s="396"/>
      <c r="AQ144" s="396"/>
      <c r="AR144" s="402"/>
    </row>
    <row r="145" spans="3:44" ht="18" customHeight="1">
      <c r="C145" s="404" t="s">
        <v>102</v>
      </c>
      <c r="D145" s="405"/>
      <c r="E145" s="405"/>
      <c r="F145" s="405"/>
      <c r="G145" s="405"/>
      <c r="H145" s="405"/>
      <c r="I145" s="405"/>
      <c r="J145" s="405"/>
      <c r="K145" s="405"/>
      <c r="L145" s="405"/>
      <c r="M145" s="405"/>
      <c r="N145" s="405"/>
      <c r="O145" s="405"/>
      <c r="P145" s="405"/>
      <c r="Q145" s="405"/>
      <c r="R145" s="405"/>
      <c r="S145" s="405"/>
      <c r="T145" s="405"/>
      <c r="U145" s="405"/>
      <c r="V145" s="405"/>
      <c r="W145" s="405"/>
      <c r="X145" s="405"/>
      <c r="Y145" s="405"/>
      <c r="Z145" s="405"/>
      <c r="AA145" s="406"/>
      <c r="AB145" s="395"/>
      <c r="AC145" s="396"/>
      <c r="AD145" s="396"/>
      <c r="AE145" s="396"/>
      <c r="AF145" s="396"/>
      <c r="AG145" s="396"/>
      <c r="AH145" s="396"/>
      <c r="AI145" s="397"/>
      <c r="AJ145" s="395"/>
      <c r="AK145" s="396"/>
      <c r="AL145" s="396"/>
      <c r="AM145" s="396"/>
      <c r="AN145" s="396"/>
      <c r="AO145" s="396"/>
      <c r="AP145" s="396"/>
      <c r="AQ145" s="396"/>
      <c r="AR145" s="402"/>
    </row>
    <row r="146" spans="3:44" ht="18" customHeight="1">
      <c r="C146" s="407"/>
      <c r="D146" s="408"/>
      <c r="E146" s="408"/>
      <c r="F146" s="408"/>
      <c r="G146" s="408"/>
      <c r="H146" s="408"/>
      <c r="I146" s="408"/>
      <c r="J146" s="408"/>
      <c r="K146" s="408"/>
      <c r="L146" s="408"/>
      <c r="M146" s="408"/>
      <c r="N146" s="408"/>
      <c r="O146" s="408"/>
      <c r="P146" s="408"/>
      <c r="Q146" s="408"/>
      <c r="R146" s="408"/>
      <c r="S146" s="408"/>
      <c r="T146" s="408"/>
      <c r="U146" s="408"/>
      <c r="V146" s="408"/>
      <c r="W146" s="408"/>
      <c r="X146" s="408"/>
      <c r="Y146" s="408"/>
      <c r="Z146" s="408"/>
      <c r="AA146" s="408"/>
      <c r="AB146" s="398"/>
      <c r="AC146" s="399"/>
      <c r="AD146" s="399"/>
      <c r="AE146" s="399"/>
      <c r="AF146" s="399"/>
      <c r="AG146" s="399"/>
      <c r="AH146" s="399"/>
      <c r="AI146" s="400"/>
      <c r="AJ146" s="398"/>
      <c r="AK146" s="399"/>
      <c r="AL146" s="399"/>
      <c r="AM146" s="399"/>
      <c r="AN146" s="399"/>
      <c r="AO146" s="399"/>
      <c r="AP146" s="399"/>
      <c r="AQ146" s="399"/>
      <c r="AR146" s="403"/>
    </row>
    <row r="148" spans="3:44" ht="18" customHeight="1">
      <c r="C148" s="850" t="s">
        <v>64</v>
      </c>
      <c r="D148" s="851"/>
      <c r="E148" s="851"/>
      <c r="F148" s="851"/>
      <c r="G148" s="851"/>
      <c r="H148" s="851"/>
      <c r="I148" s="851"/>
      <c r="J148" s="851"/>
      <c r="K148" s="851"/>
      <c r="L148" s="851"/>
      <c r="M148" s="851"/>
      <c r="N148" s="851"/>
      <c r="O148" s="851"/>
      <c r="P148" s="851"/>
      <c r="Q148" s="851"/>
      <c r="R148" s="851"/>
      <c r="S148" s="851"/>
      <c r="T148" s="851"/>
      <c r="U148" s="851"/>
      <c r="V148" s="851"/>
      <c r="W148" s="851"/>
      <c r="X148" s="851"/>
      <c r="Y148" s="851"/>
      <c r="Z148" s="851"/>
      <c r="AA148" s="851"/>
      <c r="AB148" s="851"/>
      <c r="AC148" s="851"/>
      <c r="AD148" s="851"/>
      <c r="AE148" s="851"/>
      <c r="AF148" s="851"/>
      <c r="AG148" s="851"/>
      <c r="AH148" s="851"/>
      <c r="AI148" s="851"/>
      <c r="AJ148" s="851"/>
      <c r="AK148" s="851"/>
      <c r="AL148" s="851"/>
      <c r="AM148" s="851"/>
      <c r="AN148" s="851"/>
      <c r="AO148" s="851"/>
      <c r="AP148" s="851"/>
      <c r="AQ148" s="851"/>
      <c r="AR148" s="852"/>
    </row>
    <row r="149" spans="3:44" ht="18" customHeight="1">
      <c r="C149" s="853"/>
      <c r="D149" s="854"/>
      <c r="E149" s="854"/>
      <c r="F149" s="854"/>
      <c r="G149" s="854"/>
      <c r="H149" s="854"/>
      <c r="I149" s="854"/>
      <c r="J149" s="854"/>
      <c r="K149" s="854"/>
      <c r="L149" s="854"/>
      <c r="M149" s="854"/>
      <c r="N149" s="854"/>
      <c r="O149" s="854"/>
      <c r="P149" s="854"/>
      <c r="Q149" s="854"/>
      <c r="R149" s="854"/>
      <c r="S149" s="854"/>
      <c r="T149" s="854"/>
      <c r="U149" s="854"/>
      <c r="V149" s="854"/>
      <c r="W149" s="854"/>
      <c r="X149" s="854"/>
      <c r="Y149" s="854"/>
      <c r="Z149" s="854"/>
      <c r="AA149" s="854"/>
      <c r="AB149" s="854"/>
      <c r="AC149" s="854"/>
      <c r="AD149" s="854"/>
      <c r="AE149" s="854"/>
      <c r="AF149" s="854"/>
      <c r="AG149" s="854"/>
      <c r="AH149" s="854"/>
      <c r="AI149" s="854"/>
      <c r="AJ149" s="854"/>
      <c r="AK149" s="854"/>
      <c r="AL149" s="854"/>
      <c r="AM149" s="854"/>
      <c r="AN149" s="854"/>
      <c r="AO149" s="854"/>
      <c r="AP149" s="854"/>
      <c r="AQ149" s="854"/>
      <c r="AR149" s="855"/>
    </row>
    <row r="150" spans="3:44" ht="39.950000000000003" customHeight="1">
      <c r="C150" s="856" t="s">
        <v>65</v>
      </c>
      <c r="D150" s="857"/>
      <c r="E150" s="857"/>
      <c r="F150" s="857"/>
      <c r="G150" s="860" t="s">
        <v>361</v>
      </c>
      <c r="H150" s="860"/>
      <c r="I150" s="860"/>
      <c r="J150" s="861"/>
      <c r="K150" s="864" t="s">
        <v>66</v>
      </c>
      <c r="L150" s="865"/>
      <c r="M150" s="865"/>
      <c r="N150" s="865"/>
      <c r="O150" s="526" t="s">
        <v>411</v>
      </c>
      <c r="P150" s="526"/>
      <c r="Q150" s="526"/>
      <c r="R150" s="526"/>
      <c r="S150" s="526"/>
      <c r="T150" s="526"/>
      <c r="U150" s="526"/>
      <c r="V150" s="526"/>
      <c r="W150" s="526"/>
      <c r="X150" s="526"/>
      <c r="Y150" s="526"/>
      <c r="Z150" s="526"/>
      <c r="AA150" s="526"/>
      <c r="AB150" s="526"/>
      <c r="AC150" s="526"/>
      <c r="AD150" s="526"/>
      <c r="AE150" s="526"/>
      <c r="AF150" s="526"/>
      <c r="AG150" s="526"/>
      <c r="AH150" s="526"/>
      <c r="AI150" s="526"/>
      <c r="AJ150" s="526"/>
      <c r="AK150" s="527"/>
      <c r="AL150" s="864" t="s">
        <v>67</v>
      </c>
      <c r="AM150" s="865"/>
      <c r="AN150" s="865"/>
      <c r="AO150" s="865"/>
      <c r="AP150" s="843" t="s">
        <v>245</v>
      </c>
      <c r="AQ150" s="843"/>
      <c r="AR150" s="844"/>
    </row>
    <row r="151" spans="3:44" ht="39.950000000000003" customHeight="1">
      <c r="C151" s="858"/>
      <c r="D151" s="859"/>
      <c r="E151" s="859"/>
      <c r="F151" s="859"/>
      <c r="G151" s="862"/>
      <c r="H151" s="862"/>
      <c r="I151" s="862"/>
      <c r="J151" s="863"/>
      <c r="K151" s="866"/>
      <c r="L151" s="867"/>
      <c r="M151" s="867"/>
      <c r="N151" s="867"/>
      <c r="O151" s="528"/>
      <c r="P151" s="528"/>
      <c r="Q151" s="528"/>
      <c r="R151" s="528"/>
      <c r="S151" s="528"/>
      <c r="T151" s="528"/>
      <c r="U151" s="528"/>
      <c r="V151" s="528"/>
      <c r="W151" s="528"/>
      <c r="X151" s="528"/>
      <c r="Y151" s="528"/>
      <c r="Z151" s="528"/>
      <c r="AA151" s="528"/>
      <c r="AB151" s="528"/>
      <c r="AC151" s="528"/>
      <c r="AD151" s="528"/>
      <c r="AE151" s="528"/>
      <c r="AF151" s="528"/>
      <c r="AG151" s="528"/>
      <c r="AH151" s="528"/>
      <c r="AI151" s="528"/>
      <c r="AJ151" s="528"/>
      <c r="AK151" s="529"/>
      <c r="AL151" s="866"/>
      <c r="AM151" s="867"/>
      <c r="AN151" s="867"/>
      <c r="AO151" s="867"/>
      <c r="AP151" s="845"/>
      <c r="AQ151" s="845"/>
      <c r="AR151" s="846"/>
    </row>
    <row r="153" spans="3:44" ht="18" customHeight="1">
      <c r="C153" s="794" t="s">
        <v>43</v>
      </c>
      <c r="D153" s="774"/>
      <c r="E153" s="775"/>
      <c r="F153" s="773" t="s">
        <v>68</v>
      </c>
      <c r="G153" s="774"/>
      <c r="H153" s="774"/>
      <c r="I153" s="774"/>
      <c r="J153" s="774"/>
      <c r="K153" s="774"/>
      <c r="L153" s="774"/>
      <c r="M153" s="774"/>
      <c r="N153" s="774"/>
      <c r="O153" s="774"/>
      <c r="P153" s="774"/>
      <c r="Q153" s="774"/>
      <c r="R153" s="774"/>
      <c r="S153" s="774"/>
      <c r="T153" s="774"/>
      <c r="U153" s="775"/>
      <c r="V153" s="773" t="s">
        <v>249</v>
      </c>
      <c r="W153" s="774"/>
      <c r="X153" s="775"/>
      <c r="Y153" s="847" t="s">
        <v>69</v>
      </c>
      <c r="Z153" s="848"/>
      <c r="AA153" s="848"/>
      <c r="AB153" s="848"/>
      <c r="AC153" s="848"/>
      <c r="AD153" s="848"/>
      <c r="AE153" s="848"/>
      <c r="AF153" s="849"/>
      <c r="AG153" s="847" t="s">
        <v>70</v>
      </c>
      <c r="AH153" s="848"/>
      <c r="AI153" s="848"/>
      <c r="AJ153" s="848"/>
      <c r="AK153" s="848"/>
      <c r="AL153" s="848"/>
      <c r="AM153" s="848"/>
      <c r="AN153" s="849"/>
      <c r="AO153" s="773" t="s">
        <v>71</v>
      </c>
      <c r="AP153" s="774"/>
      <c r="AQ153" s="774"/>
      <c r="AR153" s="779"/>
    </row>
    <row r="154" spans="3:44" ht="18" customHeight="1">
      <c r="C154" s="795"/>
      <c r="D154" s="777"/>
      <c r="E154" s="778"/>
      <c r="F154" s="776"/>
      <c r="G154" s="777"/>
      <c r="H154" s="777"/>
      <c r="I154" s="777"/>
      <c r="J154" s="777"/>
      <c r="K154" s="777"/>
      <c r="L154" s="777"/>
      <c r="M154" s="777"/>
      <c r="N154" s="777"/>
      <c r="O154" s="777"/>
      <c r="P154" s="777"/>
      <c r="Q154" s="777"/>
      <c r="R154" s="777"/>
      <c r="S154" s="777"/>
      <c r="T154" s="777"/>
      <c r="U154" s="778"/>
      <c r="V154" s="776"/>
      <c r="W154" s="777"/>
      <c r="X154" s="778"/>
      <c r="Y154" s="834" t="s">
        <v>72</v>
      </c>
      <c r="Z154" s="835"/>
      <c r="AA154" s="835"/>
      <c r="AB154" s="836"/>
      <c r="AC154" s="834" t="s">
        <v>73</v>
      </c>
      <c r="AD154" s="835"/>
      <c r="AE154" s="835"/>
      <c r="AF154" s="836"/>
      <c r="AG154" s="834" t="s">
        <v>72</v>
      </c>
      <c r="AH154" s="835"/>
      <c r="AI154" s="835"/>
      <c r="AJ154" s="836"/>
      <c r="AK154" s="834" t="s">
        <v>73</v>
      </c>
      <c r="AL154" s="835"/>
      <c r="AM154" s="835"/>
      <c r="AN154" s="836"/>
      <c r="AO154" s="776"/>
      <c r="AP154" s="777"/>
      <c r="AQ154" s="777"/>
      <c r="AR154" s="780"/>
    </row>
    <row r="155" spans="3:44" ht="18" customHeight="1">
      <c r="C155" s="781" t="s">
        <v>1379</v>
      </c>
      <c r="D155" s="782"/>
      <c r="E155" s="783"/>
      <c r="F155" s="493" t="s">
        <v>398</v>
      </c>
      <c r="G155" s="493"/>
      <c r="H155" s="493"/>
      <c r="I155" s="493"/>
      <c r="J155" s="493"/>
      <c r="K155" s="493"/>
      <c r="L155" s="493"/>
      <c r="M155" s="493"/>
      <c r="N155" s="493"/>
      <c r="O155" s="493"/>
      <c r="P155" s="493"/>
      <c r="Q155" s="493"/>
      <c r="R155" s="493"/>
      <c r="S155" s="493"/>
      <c r="T155" s="493"/>
      <c r="U155" s="493"/>
      <c r="V155" s="837">
        <v>1</v>
      </c>
      <c r="W155" s="838"/>
      <c r="X155" s="839"/>
      <c r="Y155" s="837">
        <v>1</v>
      </c>
      <c r="Z155" s="838"/>
      <c r="AA155" s="838"/>
      <c r="AB155" s="839"/>
      <c r="AC155" s="840">
        <f>1-Y155</f>
        <v>0</v>
      </c>
      <c r="AD155" s="841"/>
      <c r="AE155" s="841"/>
      <c r="AF155" s="842"/>
      <c r="AG155" s="491">
        <f>VLOOKUP(C155,[4]EQUIPAMENTOS!A$1:D$65536,3,FALSE)</f>
        <v>3.1082000000000001</v>
      </c>
      <c r="AH155" s="491"/>
      <c r="AI155" s="491"/>
      <c r="AJ155" s="491"/>
      <c r="AK155" s="491">
        <f>VLOOKUP(C155,[4]EQUIPAMENTOS!A$1:D$65536,4,FALSE)</f>
        <v>0</v>
      </c>
      <c r="AL155" s="491"/>
      <c r="AM155" s="491"/>
      <c r="AN155" s="491"/>
      <c r="AO155" s="491">
        <f t="shared" ref="AO155:AO161" si="2">ROUND((Y155*AG155+AC155*AK155)*V155,2)</f>
        <v>3.11</v>
      </c>
      <c r="AP155" s="491"/>
      <c r="AQ155" s="491"/>
      <c r="AR155" s="492"/>
    </row>
    <row r="156" spans="3:44" ht="18" customHeight="1">
      <c r="C156" s="758" t="s">
        <v>1389</v>
      </c>
      <c r="D156" s="759"/>
      <c r="E156" s="760"/>
      <c r="F156" s="493" t="s">
        <v>401</v>
      </c>
      <c r="G156" s="493"/>
      <c r="H156" s="493"/>
      <c r="I156" s="493"/>
      <c r="J156" s="493"/>
      <c r="K156" s="493"/>
      <c r="L156" s="493"/>
      <c r="M156" s="493"/>
      <c r="N156" s="493"/>
      <c r="O156" s="493"/>
      <c r="P156" s="493"/>
      <c r="Q156" s="493"/>
      <c r="R156" s="493"/>
      <c r="S156" s="493"/>
      <c r="T156" s="493"/>
      <c r="U156" s="493"/>
      <c r="V156" s="466">
        <v>1</v>
      </c>
      <c r="W156" s="467"/>
      <c r="X156" s="468"/>
      <c r="Y156" s="466">
        <v>0.9</v>
      </c>
      <c r="Z156" s="467"/>
      <c r="AA156" s="467"/>
      <c r="AB156" s="468"/>
      <c r="AC156" s="828">
        <f t="shared" ref="AC156:AC161" si="3">1-Y156</f>
        <v>9.9999999999999978E-2</v>
      </c>
      <c r="AD156" s="829"/>
      <c r="AE156" s="829"/>
      <c r="AF156" s="830"/>
      <c r="AG156" s="491">
        <f>VLOOKUP(C156,[4]EQUIPAMENTOS!A$1:D$65536,3,FALSE)</f>
        <v>16.293600000000001</v>
      </c>
      <c r="AH156" s="491"/>
      <c r="AI156" s="491"/>
      <c r="AJ156" s="491"/>
      <c r="AK156" s="491">
        <f>VLOOKUP(C156,[4]EQUIPAMENTOS!A$1:D$65536,4,FALSE)</f>
        <v>13.454599999999999</v>
      </c>
      <c r="AL156" s="491"/>
      <c r="AM156" s="491"/>
      <c r="AN156" s="491"/>
      <c r="AO156" s="491">
        <f t="shared" si="2"/>
        <v>16.010000000000002</v>
      </c>
      <c r="AP156" s="491"/>
      <c r="AQ156" s="491"/>
      <c r="AR156" s="492"/>
    </row>
    <row r="157" spans="3:44" ht="18" customHeight="1">
      <c r="C157" s="758" t="s">
        <v>1390</v>
      </c>
      <c r="D157" s="759"/>
      <c r="E157" s="760"/>
      <c r="F157" s="493" t="s">
        <v>402</v>
      </c>
      <c r="G157" s="493"/>
      <c r="H157" s="493"/>
      <c r="I157" s="493"/>
      <c r="J157" s="493"/>
      <c r="K157" s="493"/>
      <c r="L157" s="493"/>
      <c r="M157" s="493"/>
      <c r="N157" s="493"/>
      <c r="O157" s="493"/>
      <c r="P157" s="493"/>
      <c r="Q157" s="493"/>
      <c r="R157" s="493"/>
      <c r="S157" s="493"/>
      <c r="T157" s="493"/>
      <c r="U157" s="493"/>
      <c r="V157" s="466">
        <v>1</v>
      </c>
      <c r="W157" s="467"/>
      <c r="X157" s="468"/>
      <c r="Y157" s="466">
        <v>0.56000000000000005</v>
      </c>
      <c r="Z157" s="467"/>
      <c r="AA157" s="467"/>
      <c r="AB157" s="468"/>
      <c r="AC157" s="828">
        <f t="shared" si="3"/>
        <v>0.43999999999999995</v>
      </c>
      <c r="AD157" s="829"/>
      <c r="AE157" s="829"/>
      <c r="AF157" s="830"/>
      <c r="AG157" s="491">
        <f>VLOOKUP(C157,[4]EQUIPAMENTOS!A$1:D$65536,3,FALSE)</f>
        <v>22.4818</v>
      </c>
      <c r="AH157" s="491"/>
      <c r="AI157" s="491"/>
      <c r="AJ157" s="491"/>
      <c r="AK157" s="491">
        <f>VLOOKUP(C157,[4]EQUIPAMENTOS!A$1:D$65536,4,FALSE)</f>
        <v>13.454599999999999</v>
      </c>
      <c r="AL157" s="491"/>
      <c r="AM157" s="491"/>
      <c r="AN157" s="491"/>
      <c r="AO157" s="491">
        <f t="shared" si="2"/>
        <v>18.510000000000002</v>
      </c>
      <c r="AP157" s="491"/>
      <c r="AQ157" s="491"/>
      <c r="AR157" s="492"/>
    </row>
    <row r="158" spans="3:44" ht="18" customHeight="1">
      <c r="C158" s="758" t="s">
        <v>1386</v>
      </c>
      <c r="D158" s="759"/>
      <c r="E158" s="760"/>
      <c r="F158" s="493" t="s">
        <v>403</v>
      </c>
      <c r="G158" s="493"/>
      <c r="H158" s="493"/>
      <c r="I158" s="493"/>
      <c r="J158" s="493"/>
      <c r="K158" s="493"/>
      <c r="L158" s="493"/>
      <c r="M158" s="493"/>
      <c r="N158" s="493"/>
      <c r="O158" s="493"/>
      <c r="P158" s="493"/>
      <c r="Q158" s="493"/>
      <c r="R158" s="493"/>
      <c r="S158" s="493"/>
      <c r="T158" s="493"/>
      <c r="U158" s="493"/>
      <c r="V158" s="466">
        <v>0.4</v>
      </c>
      <c r="W158" s="467"/>
      <c r="X158" s="468"/>
      <c r="Y158" s="466">
        <v>1</v>
      </c>
      <c r="Z158" s="467"/>
      <c r="AA158" s="467"/>
      <c r="AB158" s="468"/>
      <c r="AC158" s="828">
        <f t="shared" si="3"/>
        <v>0</v>
      </c>
      <c r="AD158" s="829"/>
      <c r="AE158" s="829"/>
      <c r="AF158" s="830"/>
      <c r="AG158" s="491">
        <f>VLOOKUP(C158,[4]EQUIPAMENTOS!A$1:D$65536,3,FALSE)</f>
        <v>120.4585</v>
      </c>
      <c r="AH158" s="491"/>
      <c r="AI158" s="491"/>
      <c r="AJ158" s="491"/>
      <c r="AK158" s="491">
        <f>VLOOKUP(C158,[4]EQUIPAMENTOS!A$1:D$65536,4,FALSE)</f>
        <v>17.939399999999999</v>
      </c>
      <c r="AL158" s="491"/>
      <c r="AM158" s="491"/>
      <c r="AN158" s="491"/>
      <c r="AO158" s="491">
        <f t="shared" si="2"/>
        <v>48.18</v>
      </c>
      <c r="AP158" s="491"/>
      <c r="AQ158" s="491"/>
      <c r="AR158" s="492"/>
    </row>
    <row r="159" spans="3:44" ht="18" customHeight="1">
      <c r="C159" s="758" t="s">
        <v>1387</v>
      </c>
      <c r="D159" s="759"/>
      <c r="E159" s="760"/>
      <c r="F159" s="493" t="s">
        <v>404</v>
      </c>
      <c r="G159" s="493"/>
      <c r="H159" s="493"/>
      <c r="I159" s="493"/>
      <c r="J159" s="493"/>
      <c r="K159" s="493"/>
      <c r="L159" s="493"/>
      <c r="M159" s="493"/>
      <c r="N159" s="493"/>
      <c r="O159" s="493"/>
      <c r="P159" s="493"/>
      <c r="Q159" s="493"/>
      <c r="R159" s="493"/>
      <c r="S159" s="493"/>
      <c r="T159" s="493"/>
      <c r="U159" s="493"/>
      <c r="V159" s="466">
        <v>0.05</v>
      </c>
      <c r="W159" s="467"/>
      <c r="X159" s="468"/>
      <c r="Y159" s="466">
        <v>1</v>
      </c>
      <c r="Z159" s="467"/>
      <c r="AA159" s="467"/>
      <c r="AB159" s="468"/>
      <c r="AC159" s="828">
        <f t="shared" si="3"/>
        <v>0</v>
      </c>
      <c r="AD159" s="829"/>
      <c r="AE159" s="829"/>
      <c r="AF159" s="830"/>
      <c r="AG159" s="491">
        <f>VLOOKUP(C159,[4]EQUIPAMENTOS!A$1:D$65536,3,FALSE)</f>
        <v>123.3065</v>
      </c>
      <c r="AH159" s="491"/>
      <c r="AI159" s="491"/>
      <c r="AJ159" s="491"/>
      <c r="AK159" s="491">
        <f>VLOOKUP(C159,[4]EQUIPAMENTOS!A$1:D$65536,4,FALSE)</f>
        <v>17.939399999999999</v>
      </c>
      <c r="AL159" s="491"/>
      <c r="AM159" s="491"/>
      <c r="AN159" s="491"/>
      <c r="AO159" s="491">
        <f t="shared" si="2"/>
        <v>6.17</v>
      </c>
      <c r="AP159" s="491"/>
      <c r="AQ159" s="491"/>
      <c r="AR159" s="492"/>
    </row>
    <row r="160" spans="3:44" ht="18" customHeight="1">
      <c r="C160" s="758" t="s">
        <v>1391</v>
      </c>
      <c r="D160" s="759"/>
      <c r="E160" s="760"/>
      <c r="F160" s="493" t="s">
        <v>405</v>
      </c>
      <c r="G160" s="493"/>
      <c r="H160" s="493"/>
      <c r="I160" s="493"/>
      <c r="J160" s="493"/>
      <c r="K160" s="493"/>
      <c r="L160" s="493"/>
      <c r="M160" s="493"/>
      <c r="N160" s="493"/>
      <c r="O160" s="493"/>
      <c r="P160" s="493"/>
      <c r="Q160" s="493"/>
      <c r="R160" s="493"/>
      <c r="S160" s="493"/>
      <c r="T160" s="493"/>
      <c r="U160" s="493"/>
      <c r="V160" s="466">
        <v>1.61</v>
      </c>
      <c r="W160" s="467"/>
      <c r="X160" s="468"/>
      <c r="Y160" s="466">
        <v>1</v>
      </c>
      <c r="Z160" s="467"/>
      <c r="AA160" s="467"/>
      <c r="AB160" s="468"/>
      <c r="AC160" s="828">
        <f t="shared" si="3"/>
        <v>0</v>
      </c>
      <c r="AD160" s="829"/>
      <c r="AE160" s="829"/>
      <c r="AF160" s="830"/>
      <c r="AG160" s="491">
        <f>VLOOKUP(C160,[4]EQUIPAMENTOS!A$1:D$65536,3,FALSE)</f>
        <v>129.37389999999999</v>
      </c>
      <c r="AH160" s="491"/>
      <c r="AI160" s="491"/>
      <c r="AJ160" s="491"/>
      <c r="AK160" s="491">
        <f>VLOOKUP(C160,[4]EQUIPAMENTOS!A$1:D$65536,4,FALSE)</f>
        <v>17.939399999999999</v>
      </c>
      <c r="AL160" s="491"/>
      <c r="AM160" s="491"/>
      <c r="AN160" s="491"/>
      <c r="AO160" s="491">
        <f t="shared" si="2"/>
        <v>208.29</v>
      </c>
      <c r="AP160" s="491"/>
      <c r="AQ160" s="491"/>
      <c r="AR160" s="492"/>
    </row>
    <row r="161" spans="3:44" ht="18" customHeight="1">
      <c r="C161" s="758" t="s">
        <v>1392</v>
      </c>
      <c r="D161" s="759"/>
      <c r="E161" s="760"/>
      <c r="F161" s="796" t="s">
        <v>406</v>
      </c>
      <c r="G161" s="797"/>
      <c r="H161" s="797"/>
      <c r="I161" s="797"/>
      <c r="J161" s="797"/>
      <c r="K161" s="797"/>
      <c r="L161" s="797"/>
      <c r="M161" s="797"/>
      <c r="N161" s="797"/>
      <c r="O161" s="797"/>
      <c r="P161" s="797"/>
      <c r="Q161" s="797"/>
      <c r="R161" s="797"/>
      <c r="S161" s="797"/>
      <c r="T161" s="797"/>
      <c r="U161" s="798"/>
      <c r="V161" s="466">
        <v>2</v>
      </c>
      <c r="W161" s="467"/>
      <c r="X161" s="468"/>
      <c r="Y161" s="466">
        <v>1</v>
      </c>
      <c r="Z161" s="467"/>
      <c r="AA161" s="467"/>
      <c r="AB161" s="468"/>
      <c r="AC161" s="831">
        <f t="shared" si="3"/>
        <v>0</v>
      </c>
      <c r="AD161" s="832"/>
      <c r="AE161" s="832"/>
      <c r="AF161" s="833"/>
      <c r="AG161" s="491">
        <f>VLOOKUP(C161,[4]EQUIPAMENTOS!A$1:D$65536,3,FALSE)</f>
        <v>21.093699999999998</v>
      </c>
      <c r="AH161" s="491"/>
      <c r="AI161" s="491"/>
      <c r="AJ161" s="491"/>
      <c r="AK161" s="491">
        <f>VLOOKUP(C161,[4]EQUIPAMENTOS!A$1:D$65536,4,FALSE)</f>
        <v>15.1364</v>
      </c>
      <c r="AL161" s="491"/>
      <c r="AM161" s="491"/>
      <c r="AN161" s="491"/>
      <c r="AO161" s="491">
        <f t="shared" si="2"/>
        <v>42.19</v>
      </c>
      <c r="AP161" s="491"/>
      <c r="AQ161" s="491"/>
      <c r="AR161" s="492"/>
    </row>
    <row r="162" spans="3:44" ht="18" customHeight="1">
      <c r="C162" s="758"/>
      <c r="D162" s="759"/>
      <c r="E162" s="760"/>
      <c r="F162" s="796"/>
      <c r="G162" s="797"/>
      <c r="H162" s="797"/>
      <c r="I162" s="797"/>
      <c r="J162" s="797"/>
      <c r="K162" s="797"/>
      <c r="L162" s="797"/>
      <c r="M162" s="797"/>
      <c r="N162" s="797"/>
      <c r="O162" s="797"/>
      <c r="P162" s="797"/>
      <c r="Q162" s="797"/>
      <c r="R162" s="797"/>
      <c r="S162" s="797"/>
      <c r="T162" s="797"/>
      <c r="U162" s="798"/>
      <c r="V162" s="466"/>
      <c r="W162" s="467"/>
      <c r="X162" s="468"/>
      <c r="Y162" s="466"/>
      <c r="Z162" s="467"/>
      <c r="AA162" s="467"/>
      <c r="AB162" s="468"/>
      <c r="AC162" s="828"/>
      <c r="AD162" s="829"/>
      <c r="AE162" s="829"/>
      <c r="AF162" s="830"/>
      <c r="AG162" s="466"/>
      <c r="AH162" s="467"/>
      <c r="AI162" s="467"/>
      <c r="AJ162" s="468"/>
      <c r="AK162" s="466"/>
      <c r="AL162" s="467"/>
      <c r="AM162" s="467"/>
      <c r="AN162" s="468"/>
      <c r="AO162" s="466"/>
      <c r="AP162" s="467"/>
      <c r="AQ162" s="467"/>
      <c r="AR162" s="823"/>
    </row>
    <row r="163" spans="3:44" ht="18" customHeight="1">
      <c r="C163" s="743"/>
      <c r="D163" s="744"/>
      <c r="E163" s="744"/>
      <c r="F163" s="744"/>
      <c r="G163" s="744"/>
      <c r="H163" s="744"/>
      <c r="I163" s="744"/>
      <c r="J163" s="744"/>
      <c r="K163" s="744"/>
      <c r="L163" s="744"/>
      <c r="M163" s="744"/>
      <c r="N163" s="744"/>
      <c r="O163" s="744"/>
      <c r="P163" s="744"/>
      <c r="Q163" s="744"/>
      <c r="R163" s="744"/>
      <c r="S163" s="744"/>
      <c r="T163" s="744"/>
      <c r="U163" s="744"/>
      <c r="V163" s="744"/>
      <c r="W163" s="744"/>
      <c r="X163" s="824"/>
      <c r="Y163" s="825" t="s">
        <v>74</v>
      </c>
      <c r="Z163" s="826"/>
      <c r="AA163" s="826"/>
      <c r="AB163" s="826"/>
      <c r="AC163" s="826"/>
      <c r="AD163" s="826"/>
      <c r="AE163" s="826"/>
      <c r="AF163" s="826"/>
      <c r="AG163" s="826"/>
      <c r="AH163" s="826"/>
      <c r="AI163" s="826"/>
      <c r="AJ163" s="826"/>
      <c r="AK163" s="826"/>
      <c r="AL163" s="826"/>
      <c r="AM163" s="826"/>
      <c r="AN163" s="827"/>
      <c r="AO163" s="477">
        <f>SUM(AO155:AR162)</f>
        <v>342.46</v>
      </c>
      <c r="AP163" s="746"/>
      <c r="AQ163" s="746"/>
      <c r="AR163" s="747"/>
    </row>
    <row r="165" spans="3:44" ht="18" customHeight="1">
      <c r="C165" s="794" t="s">
        <v>43</v>
      </c>
      <c r="D165" s="774"/>
      <c r="E165" s="775"/>
      <c r="F165" s="773" t="s">
        <v>75</v>
      </c>
      <c r="G165" s="774"/>
      <c r="H165" s="774"/>
      <c r="I165" s="774"/>
      <c r="J165" s="774"/>
      <c r="K165" s="774"/>
      <c r="L165" s="774"/>
      <c r="M165" s="774"/>
      <c r="N165" s="774"/>
      <c r="O165" s="774"/>
      <c r="P165" s="774"/>
      <c r="Q165" s="774"/>
      <c r="R165" s="774"/>
      <c r="S165" s="774"/>
      <c r="T165" s="774"/>
      <c r="U165" s="774"/>
      <c r="V165" s="774"/>
      <c r="W165" s="774"/>
      <c r="X165" s="774"/>
      <c r="Y165" s="774"/>
      <c r="Z165" s="774"/>
      <c r="AA165" s="774"/>
      <c r="AB165" s="775"/>
      <c r="AC165" s="773" t="s">
        <v>76</v>
      </c>
      <c r="AD165" s="774"/>
      <c r="AE165" s="774"/>
      <c r="AF165" s="775"/>
      <c r="AG165" s="773" t="s">
        <v>249</v>
      </c>
      <c r="AH165" s="774"/>
      <c r="AI165" s="774"/>
      <c r="AJ165" s="775"/>
      <c r="AK165" s="773" t="s">
        <v>77</v>
      </c>
      <c r="AL165" s="774"/>
      <c r="AM165" s="774"/>
      <c r="AN165" s="775"/>
      <c r="AO165" s="773" t="s">
        <v>71</v>
      </c>
      <c r="AP165" s="774"/>
      <c r="AQ165" s="774"/>
      <c r="AR165" s="779"/>
    </row>
    <row r="166" spans="3:44" ht="18" customHeight="1">
      <c r="C166" s="795"/>
      <c r="D166" s="777"/>
      <c r="E166" s="778"/>
      <c r="F166" s="776"/>
      <c r="G166" s="777"/>
      <c r="H166" s="777"/>
      <c r="I166" s="777"/>
      <c r="J166" s="777"/>
      <c r="K166" s="777"/>
      <c r="L166" s="777"/>
      <c r="M166" s="777"/>
      <c r="N166" s="777"/>
      <c r="O166" s="777"/>
      <c r="P166" s="777"/>
      <c r="Q166" s="777"/>
      <c r="R166" s="777"/>
      <c r="S166" s="777"/>
      <c r="T166" s="777"/>
      <c r="U166" s="777"/>
      <c r="V166" s="777"/>
      <c r="W166" s="777"/>
      <c r="X166" s="777"/>
      <c r="Y166" s="777"/>
      <c r="Z166" s="777"/>
      <c r="AA166" s="777"/>
      <c r="AB166" s="778"/>
      <c r="AC166" s="776"/>
      <c r="AD166" s="777"/>
      <c r="AE166" s="777"/>
      <c r="AF166" s="778"/>
      <c r="AG166" s="776"/>
      <c r="AH166" s="777"/>
      <c r="AI166" s="777"/>
      <c r="AJ166" s="778"/>
      <c r="AK166" s="776"/>
      <c r="AL166" s="777"/>
      <c r="AM166" s="777"/>
      <c r="AN166" s="778"/>
      <c r="AO166" s="776"/>
      <c r="AP166" s="777"/>
      <c r="AQ166" s="777"/>
      <c r="AR166" s="780"/>
    </row>
    <row r="167" spans="3:44" ht="18" customHeight="1">
      <c r="C167" s="781" t="s">
        <v>1393</v>
      </c>
      <c r="D167" s="782"/>
      <c r="E167" s="783"/>
      <c r="F167" s="493" t="s">
        <v>395</v>
      </c>
      <c r="G167" s="493"/>
      <c r="H167" s="493"/>
      <c r="I167" s="493"/>
      <c r="J167" s="493"/>
      <c r="K167" s="493"/>
      <c r="L167" s="493"/>
      <c r="M167" s="493"/>
      <c r="N167" s="493"/>
      <c r="O167" s="493"/>
      <c r="P167" s="493"/>
      <c r="Q167" s="493"/>
      <c r="R167" s="493"/>
      <c r="S167" s="493"/>
      <c r="T167" s="493"/>
      <c r="U167" s="493"/>
      <c r="V167" s="493"/>
      <c r="W167" s="493"/>
      <c r="X167" s="493"/>
      <c r="Y167" s="493"/>
      <c r="Z167" s="493"/>
      <c r="AA167" s="493"/>
      <c r="AB167" s="493"/>
      <c r="AC167" s="770"/>
      <c r="AD167" s="771"/>
      <c r="AE167" s="771"/>
      <c r="AF167" s="790"/>
      <c r="AG167" s="770">
        <v>1</v>
      </c>
      <c r="AH167" s="771"/>
      <c r="AI167" s="771"/>
      <c r="AJ167" s="790"/>
      <c r="AK167" s="449">
        <f>VLOOKUP(C167,[4]MÃODEOBRA!A$1:D$65536,4,FALSE)</f>
        <v>39.24248</v>
      </c>
      <c r="AL167" s="449"/>
      <c r="AM167" s="449"/>
      <c r="AN167" s="449"/>
      <c r="AO167" s="491">
        <f>ROUND(AG167*AK167,2)</f>
        <v>39.24</v>
      </c>
      <c r="AP167" s="491"/>
      <c r="AQ167" s="491"/>
      <c r="AR167" s="492"/>
    </row>
    <row r="168" spans="3:44" ht="18" customHeight="1">
      <c r="C168" s="758" t="s">
        <v>1380</v>
      </c>
      <c r="D168" s="759"/>
      <c r="E168" s="760"/>
      <c r="F168" s="493" t="s">
        <v>399</v>
      </c>
      <c r="G168" s="493"/>
      <c r="H168" s="493"/>
      <c r="I168" s="493"/>
      <c r="J168" s="493"/>
      <c r="K168" s="493"/>
      <c r="L168" s="493"/>
      <c r="M168" s="493"/>
      <c r="N168" s="493"/>
      <c r="O168" s="493"/>
      <c r="P168" s="493"/>
      <c r="Q168" s="493"/>
      <c r="R168" s="493"/>
      <c r="S168" s="493"/>
      <c r="T168" s="493"/>
      <c r="U168" s="493"/>
      <c r="V168" s="493"/>
      <c r="W168" s="493"/>
      <c r="X168" s="493"/>
      <c r="Y168" s="493"/>
      <c r="Z168" s="493"/>
      <c r="AA168" s="493"/>
      <c r="AB168" s="493"/>
      <c r="AC168" s="740"/>
      <c r="AD168" s="741"/>
      <c r="AE168" s="741"/>
      <c r="AF168" s="757"/>
      <c r="AG168" s="740">
        <v>2</v>
      </c>
      <c r="AH168" s="741"/>
      <c r="AI168" s="741"/>
      <c r="AJ168" s="757"/>
      <c r="AK168" s="449">
        <f>VLOOKUP(C168,[4]MÃODEOBRA!A$1:D$65536,4,FALSE)</f>
        <v>11.156079999999999</v>
      </c>
      <c r="AL168" s="449"/>
      <c r="AM168" s="449"/>
      <c r="AN168" s="449"/>
      <c r="AO168" s="491">
        <f>ROUND(AG168*AK168,2)</f>
        <v>22.31</v>
      </c>
      <c r="AP168" s="491"/>
      <c r="AQ168" s="491"/>
      <c r="AR168" s="492"/>
    </row>
    <row r="169" spans="3:44" ht="18" customHeight="1">
      <c r="C169" s="758" t="s">
        <v>1383</v>
      </c>
      <c r="D169" s="759"/>
      <c r="E169" s="760"/>
      <c r="F169" s="796" t="s">
        <v>123</v>
      </c>
      <c r="G169" s="797"/>
      <c r="H169" s="797"/>
      <c r="I169" s="797"/>
      <c r="J169" s="797"/>
      <c r="K169" s="797"/>
      <c r="L169" s="797"/>
      <c r="M169" s="797"/>
      <c r="N169" s="797"/>
      <c r="O169" s="797"/>
      <c r="P169" s="797"/>
      <c r="Q169" s="797"/>
      <c r="R169" s="797"/>
      <c r="S169" s="797"/>
      <c r="T169" s="797"/>
      <c r="U169" s="797"/>
      <c r="V169" s="797"/>
      <c r="W169" s="797"/>
      <c r="X169" s="797"/>
      <c r="Y169" s="797"/>
      <c r="Z169" s="797"/>
      <c r="AA169" s="797"/>
      <c r="AB169" s="798"/>
      <c r="AC169" s="740"/>
      <c r="AD169" s="741"/>
      <c r="AE169" s="741"/>
      <c r="AF169" s="757"/>
      <c r="AG169" s="740">
        <v>2</v>
      </c>
      <c r="AH169" s="741"/>
      <c r="AI169" s="741"/>
      <c r="AJ169" s="757"/>
      <c r="AK169" s="449">
        <f>VLOOKUP(C169,[4]MÃODEOBRA!A$1:D$65536,4,FALSE)</f>
        <v>11.156079999999999</v>
      </c>
      <c r="AL169" s="449"/>
      <c r="AM169" s="449"/>
      <c r="AN169" s="449"/>
      <c r="AO169" s="491">
        <f>ROUND(AG169*AK169,2)</f>
        <v>22.31</v>
      </c>
      <c r="AP169" s="491"/>
      <c r="AQ169" s="491"/>
      <c r="AR169" s="492"/>
    </row>
    <row r="170" spans="3:44" ht="18" customHeight="1">
      <c r="C170" s="758" t="s">
        <v>1375</v>
      </c>
      <c r="D170" s="759"/>
      <c r="E170" s="760"/>
      <c r="F170" s="796" t="s">
        <v>106</v>
      </c>
      <c r="G170" s="797"/>
      <c r="H170" s="797"/>
      <c r="I170" s="797"/>
      <c r="J170" s="797"/>
      <c r="K170" s="797"/>
      <c r="L170" s="797"/>
      <c r="M170" s="797"/>
      <c r="N170" s="797"/>
      <c r="O170" s="797"/>
      <c r="P170" s="797"/>
      <c r="Q170" s="797"/>
      <c r="R170" s="797"/>
      <c r="S170" s="797"/>
      <c r="T170" s="797"/>
      <c r="U170" s="797"/>
      <c r="V170" s="797"/>
      <c r="W170" s="797"/>
      <c r="X170" s="797"/>
      <c r="Y170" s="797"/>
      <c r="Z170" s="797"/>
      <c r="AA170" s="797"/>
      <c r="AB170" s="798"/>
      <c r="AC170" s="740"/>
      <c r="AD170" s="741"/>
      <c r="AE170" s="741"/>
      <c r="AF170" s="757"/>
      <c r="AG170" s="740">
        <v>6</v>
      </c>
      <c r="AH170" s="741"/>
      <c r="AI170" s="741"/>
      <c r="AJ170" s="757"/>
      <c r="AK170" s="449">
        <f>VLOOKUP(C170,[4]MÃODEOBRA!A$1:D$65536,4,FALSE)</f>
        <v>7.90456</v>
      </c>
      <c r="AL170" s="449"/>
      <c r="AM170" s="449"/>
      <c r="AN170" s="449"/>
      <c r="AO170" s="491">
        <f>ROUND(AG170*AK170,2)</f>
        <v>47.43</v>
      </c>
      <c r="AP170" s="491"/>
      <c r="AQ170" s="491"/>
      <c r="AR170" s="492"/>
    </row>
    <row r="171" spans="3:44" ht="18" customHeight="1">
      <c r="C171" s="758"/>
      <c r="D171" s="759"/>
      <c r="E171" s="760"/>
      <c r="F171" s="796"/>
      <c r="G171" s="797"/>
      <c r="H171" s="797"/>
      <c r="I171" s="797"/>
      <c r="J171" s="797"/>
      <c r="K171" s="797"/>
      <c r="L171" s="797"/>
      <c r="M171" s="797"/>
      <c r="N171" s="797"/>
      <c r="O171" s="797"/>
      <c r="P171" s="797"/>
      <c r="Q171" s="797"/>
      <c r="R171" s="797"/>
      <c r="S171" s="797"/>
      <c r="T171" s="797"/>
      <c r="U171" s="797"/>
      <c r="V171" s="797"/>
      <c r="W171" s="797"/>
      <c r="X171" s="797"/>
      <c r="Y171" s="797"/>
      <c r="Z171" s="797"/>
      <c r="AA171" s="797"/>
      <c r="AB171" s="798"/>
      <c r="AC171" s="740"/>
      <c r="AD171" s="741"/>
      <c r="AE171" s="741"/>
      <c r="AF171" s="757"/>
      <c r="AG171" s="740"/>
      <c r="AH171" s="741"/>
      <c r="AI171" s="741"/>
      <c r="AJ171" s="757"/>
      <c r="AK171" s="740"/>
      <c r="AL171" s="741"/>
      <c r="AM171" s="741"/>
      <c r="AN171" s="757"/>
      <c r="AO171" s="466"/>
      <c r="AP171" s="467"/>
      <c r="AQ171" s="467"/>
      <c r="AR171" s="823"/>
    </row>
    <row r="172" spans="3:44" ht="18" customHeight="1">
      <c r="C172" s="758"/>
      <c r="D172" s="759"/>
      <c r="E172" s="760"/>
      <c r="F172" s="796"/>
      <c r="G172" s="797"/>
      <c r="H172" s="797"/>
      <c r="I172" s="797"/>
      <c r="J172" s="797"/>
      <c r="K172" s="797"/>
      <c r="L172" s="797"/>
      <c r="M172" s="797"/>
      <c r="N172" s="797"/>
      <c r="O172" s="797"/>
      <c r="P172" s="797"/>
      <c r="Q172" s="797"/>
      <c r="R172" s="797"/>
      <c r="S172" s="797"/>
      <c r="T172" s="797"/>
      <c r="U172" s="797"/>
      <c r="V172" s="797"/>
      <c r="W172" s="797"/>
      <c r="X172" s="797"/>
      <c r="Y172" s="797"/>
      <c r="Z172" s="797"/>
      <c r="AA172" s="797"/>
      <c r="AB172" s="798"/>
      <c r="AC172" s="740"/>
      <c r="AD172" s="741"/>
      <c r="AE172" s="741"/>
      <c r="AF172" s="757"/>
      <c r="AG172" s="740"/>
      <c r="AH172" s="741"/>
      <c r="AI172" s="741"/>
      <c r="AJ172" s="757"/>
      <c r="AK172" s="740"/>
      <c r="AL172" s="741"/>
      <c r="AM172" s="741"/>
      <c r="AN172" s="757"/>
      <c r="AO172" s="466"/>
      <c r="AP172" s="467"/>
      <c r="AQ172" s="467"/>
      <c r="AR172" s="823"/>
    </row>
    <row r="173" spans="3:44" ht="18" customHeight="1">
      <c r="C173" s="758"/>
      <c r="D173" s="759"/>
      <c r="E173" s="760"/>
      <c r="F173" s="796"/>
      <c r="G173" s="797"/>
      <c r="H173" s="797"/>
      <c r="I173" s="797"/>
      <c r="J173" s="797"/>
      <c r="K173" s="797"/>
      <c r="L173" s="797"/>
      <c r="M173" s="797"/>
      <c r="N173" s="797"/>
      <c r="O173" s="797"/>
      <c r="P173" s="797"/>
      <c r="Q173" s="797"/>
      <c r="R173" s="797"/>
      <c r="S173" s="797"/>
      <c r="T173" s="797"/>
      <c r="U173" s="797"/>
      <c r="V173" s="797"/>
      <c r="W173" s="797"/>
      <c r="X173" s="797"/>
      <c r="Y173" s="797"/>
      <c r="Z173" s="797"/>
      <c r="AA173" s="797"/>
      <c r="AB173" s="798"/>
      <c r="AC173" s="740"/>
      <c r="AD173" s="741"/>
      <c r="AE173" s="741"/>
      <c r="AF173" s="757"/>
      <c r="AG173" s="740"/>
      <c r="AH173" s="741"/>
      <c r="AI173" s="741"/>
      <c r="AJ173" s="757"/>
      <c r="AK173" s="740"/>
      <c r="AL173" s="741"/>
      <c r="AM173" s="741"/>
      <c r="AN173" s="757"/>
      <c r="AO173" s="466"/>
      <c r="AP173" s="467"/>
      <c r="AQ173" s="467"/>
      <c r="AR173" s="823"/>
    </row>
    <row r="174" spans="3:44" ht="18" customHeight="1">
      <c r="C174" s="758"/>
      <c r="D174" s="759"/>
      <c r="E174" s="760"/>
      <c r="F174" s="796"/>
      <c r="G174" s="797"/>
      <c r="H174" s="797"/>
      <c r="I174" s="797"/>
      <c r="J174" s="797"/>
      <c r="K174" s="797"/>
      <c r="L174" s="797"/>
      <c r="M174" s="797"/>
      <c r="N174" s="797"/>
      <c r="O174" s="797"/>
      <c r="P174" s="797"/>
      <c r="Q174" s="797"/>
      <c r="R174" s="797"/>
      <c r="S174" s="797"/>
      <c r="T174" s="797"/>
      <c r="U174" s="797"/>
      <c r="V174" s="797"/>
      <c r="W174" s="797"/>
      <c r="X174" s="797"/>
      <c r="Y174" s="797"/>
      <c r="Z174" s="797"/>
      <c r="AA174" s="797"/>
      <c r="AB174" s="798"/>
      <c r="AC174" s="740"/>
      <c r="AD174" s="741"/>
      <c r="AE174" s="741"/>
      <c r="AF174" s="757"/>
      <c r="AG174" s="740"/>
      <c r="AH174" s="741"/>
      <c r="AI174" s="741"/>
      <c r="AJ174" s="757"/>
      <c r="AK174" s="740"/>
      <c r="AL174" s="741"/>
      <c r="AM174" s="741"/>
      <c r="AN174" s="757"/>
      <c r="AO174" s="466"/>
      <c r="AP174" s="467"/>
      <c r="AQ174" s="467"/>
      <c r="AR174" s="823"/>
    </row>
    <row r="175" spans="3:44" ht="18" customHeight="1">
      <c r="C175" s="814"/>
      <c r="D175" s="815"/>
      <c r="E175" s="815"/>
      <c r="F175" s="815"/>
      <c r="G175" s="815"/>
      <c r="H175" s="815"/>
      <c r="I175" s="815"/>
      <c r="J175" s="815"/>
      <c r="K175" s="815"/>
      <c r="L175" s="815"/>
      <c r="M175" s="815"/>
      <c r="N175" s="815"/>
      <c r="O175" s="815"/>
      <c r="P175" s="815"/>
      <c r="Q175" s="815"/>
      <c r="R175" s="815"/>
      <c r="S175" s="815"/>
      <c r="T175" s="815"/>
      <c r="U175" s="815"/>
      <c r="V175" s="815"/>
      <c r="W175" s="815"/>
      <c r="X175" s="815"/>
      <c r="Y175" s="816" t="s">
        <v>78</v>
      </c>
      <c r="Z175" s="816"/>
      <c r="AA175" s="816"/>
      <c r="AB175" s="816"/>
      <c r="AC175" s="816"/>
      <c r="AD175" s="816"/>
      <c r="AE175" s="816"/>
      <c r="AF175" s="483"/>
      <c r="AG175" s="817" t="s">
        <v>267</v>
      </c>
      <c r="AH175" s="818"/>
      <c r="AI175" s="818"/>
      <c r="AJ175" s="819"/>
      <c r="AK175" s="466">
        <f>SUM(AO167:AR174)</f>
        <v>131.29</v>
      </c>
      <c r="AL175" s="467"/>
      <c r="AM175" s="467"/>
      <c r="AN175" s="468"/>
      <c r="AO175" s="820">
        <f>ROUND(AG175*AK175,2)</f>
        <v>26.93</v>
      </c>
      <c r="AP175" s="821"/>
      <c r="AQ175" s="821"/>
      <c r="AR175" s="822"/>
    </row>
    <row r="176" spans="3:44" ht="18" customHeight="1">
      <c r="C176" s="743"/>
      <c r="D176" s="744"/>
      <c r="E176" s="744"/>
      <c r="F176" s="744"/>
      <c r="G176" s="744"/>
      <c r="H176" s="744"/>
      <c r="I176" s="744"/>
      <c r="J176" s="744"/>
      <c r="K176" s="744"/>
      <c r="L176" s="744"/>
      <c r="M176" s="744"/>
      <c r="N176" s="744"/>
      <c r="O176" s="744"/>
      <c r="P176" s="744"/>
      <c r="Q176" s="744"/>
      <c r="R176" s="744"/>
      <c r="S176" s="744"/>
      <c r="T176" s="744"/>
      <c r="U176" s="744"/>
      <c r="V176" s="744"/>
      <c r="W176" s="744"/>
      <c r="X176" s="744"/>
      <c r="Y176" s="745" t="s">
        <v>79</v>
      </c>
      <c r="Z176" s="745"/>
      <c r="AA176" s="745"/>
      <c r="AB176" s="745"/>
      <c r="AC176" s="745"/>
      <c r="AD176" s="745"/>
      <c r="AE176" s="745"/>
      <c r="AF176" s="745"/>
      <c r="AG176" s="745"/>
      <c r="AH176" s="745"/>
      <c r="AI176" s="745"/>
      <c r="AJ176" s="745"/>
      <c r="AK176" s="745"/>
      <c r="AL176" s="745"/>
      <c r="AM176" s="745"/>
      <c r="AN176" s="430"/>
      <c r="AO176" s="477">
        <f>SUM(AO167:AR175)</f>
        <v>158.22</v>
      </c>
      <c r="AP176" s="746"/>
      <c r="AQ176" s="746"/>
      <c r="AR176" s="747"/>
    </row>
    <row r="178" spans="3:44" ht="18" customHeight="1">
      <c r="C178" s="802"/>
      <c r="D178" s="803"/>
      <c r="E178" s="803"/>
      <c r="F178" s="803"/>
      <c r="G178" s="803"/>
      <c r="H178" s="803"/>
      <c r="I178" s="803"/>
      <c r="J178" s="803"/>
      <c r="K178" s="803"/>
      <c r="L178" s="803"/>
      <c r="M178" s="803"/>
      <c r="N178" s="803"/>
      <c r="O178" s="803"/>
      <c r="P178" s="803"/>
      <c r="Q178" s="803"/>
      <c r="R178" s="803"/>
      <c r="S178" s="803"/>
      <c r="T178" s="803"/>
      <c r="U178" s="803"/>
      <c r="V178" s="803"/>
      <c r="W178" s="803"/>
      <c r="X178" s="803"/>
      <c r="Y178" s="804" t="s">
        <v>80</v>
      </c>
      <c r="Z178" s="805"/>
      <c r="AA178" s="805"/>
      <c r="AB178" s="805"/>
      <c r="AC178" s="805"/>
      <c r="AD178" s="805"/>
      <c r="AE178" s="805"/>
      <c r="AF178" s="805"/>
      <c r="AG178" s="805"/>
      <c r="AH178" s="805"/>
      <c r="AI178" s="805"/>
      <c r="AJ178" s="805"/>
      <c r="AK178" s="805"/>
      <c r="AL178" s="805"/>
      <c r="AM178" s="805"/>
      <c r="AN178" s="806"/>
      <c r="AO178" s="807">
        <f>AO163+AO176</f>
        <v>500.67999999999995</v>
      </c>
      <c r="AP178" s="808"/>
      <c r="AQ178" s="808"/>
      <c r="AR178" s="809"/>
    </row>
    <row r="179" spans="3:44" ht="18" customHeight="1">
      <c r="C179" s="810" t="s">
        <v>81</v>
      </c>
      <c r="D179" s="745"/>
      <c r="E179" s="745"/>
      <c r="F179" s="745"/>
      <c r="G179" s="745"/>
      <c r="H179" s="745"/>
      <c r="I179" s="745"/>
      <c r="J179" s="745"/>
      <c r="K179" s="745"/>
      <c r="L179" s="745"/>
      <c r="M179" s="745"/>
      <c r="N179" s="745"/>
      <c r="O179" s="745"/>
      <c r="P179" s="430"/>
      <c r="Q179" s="477">
        <v>11.2</v>
      </c>
      <c r="R179" s="746"/>
      <c r="S179" s="746"/>
      <c r="T179" s="746"/>
      <c r="U179" s="746"/>
      <c r="V179" s="745" t="s">
        <v>245</v>
      </c>
      <c r="W179" s="745"/>
      <c r="X179" s="430"/>
      <c r="Y179" s="804" t="s">
        <v>82</v>
      </c>
      <c r="Z179" s="805"/>
      <c r="AA179" s="805"/>
      <c r="AB179" s="805"/>
      <c r="AC179" s="805"/>
      <c r="AD179" s="805"/>
      <c r="AE179" s="805"/>
      <c r="AF179" s="805"/>
      <c r="AG179" s="805"/>
      <c r="AH179" s="805"/>
      <c r="AI179" s="805"/>
      <c r="AJ179" s="805"/>
      <c r="AK179" s="805"/>
      <c r="AL179" s="805"/>
      <c r="AM179" s="805"/>
      <c r="AN179" s="806"/>
      <c r="AO179" s="811">
        <f>ROUND(AO178/Q179,2)</f>
        <v>44.7</v>
      </c>
      <c r="AP179" s="812"/>
      <c r="AQ179" s="812"/>
      <c r="AR179" s="813"/>
    </row>
    <row r="181" spans="3:44" ht="18" customHeight="1">
      <c r="C181" s="794" t="s">
        <v>43</v>
      </c>
      <c r="D181" s="774"/>
      <c r="E181" s="775"/>
      <c r="F181" s="773" t="s">
        <v>83</v>
      </c>
      <c r="G181" s="774"/>
      <c r="H181" s="774"/>
      <c r="I181" s="774"/>
      <c r="J181" s="774"/>
      <c r="K181" s="774"/>
      <c r="L181" s="774"/>
      <c r="M181" s="774"/>
      <c r="N181" s="774"/>
      <c r="O181" s="774"/>
      <c r="P181" s="774"/>
      <c r="Q181" s="774"/>
      <c r="R181" s="774"/>
      <c r="S181" s="774"/>
      <c r="T181" s="774"/>
      <c r="U181" s="774"/>
      <c r="V181" s="774"/>
      <c r="W181" s="774"/>
      <c r="X181" s="774"/>
      <c r="Y181" s="774"/>
      <c r="Z181" s="774"/>
      <c r="AA181" s="774"/>
      <c r="AB181" s="775"/>
      <c r="AC181" s="773" t="s">
        <v>84</v>
      </c>
      <c r="AD181" s="774"/>
      <c r="AE181" s="774"/>
      <c r="AF181" s="775"/>
      <c r="AG181" s="773" t="s">
        <v>85</v>
      </c>
      <c r="AH181" s="774"/>
      <c r="AI181" s="774"/>
      <c r="AJ181" s="775"/>
      <c r="AK181" s="773" t="s">
        <v>86</v>
      </c>
      <c r="AL181" s="774"/>
      <c r="AM181" s="774"/>
      <c r="AN181" s="775"/>
      <c r="AO181" s="773" t="s">
        <v>87</v>
      </c>
      <c r="AP181" s="774"/>
      <c r="AQ181" s="774"/>
      <c r="AR181" s="779"/>
    </row>
    <row r="182" spans="3:44" ht="18" customHeight="1">
      <c r="C182" s="795"/>
      <c r="D182" s="777"/>
      <c r="E182" s="778"/>
      <c r="F182" s="776"/>
      <c r="G182" s="777"/>
      <c r="H182" s="777"/>
      <c r="I182" s="777"/>
      <c r="J182" s="777"/>
      <c r="K182" s="777"/>
      <c r="L182" s="777"/>
      <c r="M182" s="777"/>
      <c r="N182" s="777"/>
      <c r="O182" s="777"/>
      <c r="P182" s="777"/>
      <c r="Q182" s="777"/>
      <c r="R182" s="777"/>
      <c r="S182" s="777"/>
      <c r="T182" s="777"/>
      <c r="U182" s="777"/>
      <c r="V182" s="777"/>
      <c r="W182" s="777"/>
      <c r="X182" s="777"/>
      <c r="Y182" s="777"/>
      <c r="Z182" s="777"/>
      <c r="AA182" s="777"/>
      <c r="AB182" s="778"/>
      <c r="AC182" s="776"/>
      <c r="AD182" s="777"/>
      <c r="AE182" s="777"/>
      <c r="AF182" s="778"/>
      <c r="AG182" s="776"/>
      <c r="AH182" s="777"/>
      <c r="AI182" s="777"/>
      <c r="AJ182" s="778"/>
      <c r="AK182" s="776"/>
      <c r="AL182" s="777"/>
      <c r="AM182" s="777"/>
      <c r="AN182" s="778"/>
      <c r="AO182" s="776"/>
      <c r="AP182" s="777"/>
      <c r="AQ182" s="777"/>
      <c r="AR182" s="780"/>
    </row>
    <row r="183" spans="3:44" ht="18" customHeight="1">
      <c r="C183" s="758" t="s">
        <v>1394</v>
      </c>
      <c r="D183" s="759"/>
      <c r="E183" s="760"/>
      <c r="F183" s="796" t="s">
        <v>407</v>
      </c>
      <c r="G183" s="797"/>
      <c r="H183" s="797"/>
      <c r="I183" s="797"/>
      <c r="J183" s="797"/>
      <c r="K183" s="797"/>
      <c r="L183" s="797"/>
      <c r="M183" s="797"/>
      <c r="N183" s="797"/>
      <c r="O183" s="797"/>
      <c r="P183" s="797"/>
      <c r="Q183" s="797"/>
      <c r="R183" s="797"/>
      <c r="S183" s="797"/>
      <c r="T183" s="797"/>
      <c r="U183" s="797"/>
      <c r="V183" s="797"/>
      <c r="W183" s="797"/>
      <c r="X183" s="797"/>
      <c r="Y183" s="797"/>
      <c r="Z183" s="797"/>
      <c r="AA183" s="797"/>
      <c r="AB183" s="798"/>
      <c r="AC183" s="799" t="s">
        <v>194</v>
      </c>
      <c r="AD183" s="800"/>
      <c r="AE183" s="800"/>
      <c r="AF183" s="801"/>
      <c r="AG183" s="466">
        <f>VLOOKUP(C183,[4]MATERIAL!A$1:D$65536,4,FALSE)</f>
        <v>350</v>
      </c>
      <c r="AH183" s="467"/>
      <c r="AI183" s="467"/>
      <c r="AJ183" s="468"/>
      <c r="AK183" s="737">
        <v>1E-3</v>
      </c>
      <c r="AL183" s="738"/>
      <c r="AM183" s="738"/>
      <c r="AN183" s="739"/>
      <c r="AO183" s="740">
        <f t="shared" ref="AO183:AO191" si="4">ROUND(AG183*AK183,2)</f>
        <v>0.35</v>
      </c>
      <c r="AP183" s="741"/>
      <c r="AQ183" s="741"/>
      <c r="AR183" s="742"/>
    </row>
    <row r="184" spans="3:44" ht="18" customHeight="1">
      <c r="C184" s="758" t="s">
        <v>1395</v>
      </c>
      <c r="D184" s="759"/>
      <c r="E184" s="760"/>
      <c r="F184" s="796" t="s">
        <v>410</v>
      </c>
      <c r="G184" s="797"/>
      <c r="H184" s="797"/>
      <c r="I184" s="797"/>
      <c r="J184" s="797"/>
      <c r="K184" s="797"/>
      <c r="L184" s="797"/>
      <c r="M184" s="797"/>
      <c r="N184" s="797"/>
      <c r="O184" s="797"/>
      <c r="P184" s="797"/>
      <c r="Q184" s="797"/>
      <c r="R184" s="797"/>
      <c r="S184" s="797"/>
      <c r="T184" s="797"/>
      <c r="U184" s="797"/>
      <c r="V184" s="797"/>
      <c r="W184" s="797"/>
      <c r="X184" s="797"/>
      <c r="Y184" s="797"/>
      <c r="Z184" s="797"/>
      <c r="AA184" s="797"/>
      <c r="AB184" s="798"/>
      <c r="AC184" s="799" t="s">
        <v>246</v>
      </c>
      <c r="AD184" s="800"/>
      <c r="AE184" s="800"/>
      <c r="AF184" s="801"/>
      <c r="AG184" s="466">
        <f>VLOOKUP(C184,[4]MATERIAL!A$1:D$65536,4,FALSE)</f>
        <v>0.34399999999999997</v>
      </c>
      <c r="AH184" s="467"/>
      <c r="AI184" s="467"/>
      <c r="AJ184" s="468"/>
      <c r="AK184" s="737">
        <v>430</v>
      </c>
      <c r="AL184" s="738"/>
      <c r="AM184" s="738"/>
      <c r="AN184" s="739"/>
      <c r="AO184" s="740">
        <f t="shared" si="4"/>
        <v>147.91999999999999</v>
      </c>
      <c r="AP184" s="741"/>
      <c r="AQ184" s="741"/>
      <c r="AR184" s="742"/>
    </row>
    <row r="185" spans="3:44" ht="18" customHeight="1">
      <c r="C185" s="758" t="s">
        <v>1396</v>
      </c>
      <c r="D185" s="759"/>
      <c r="E185" s="760"/>
      <c r="F185" s="796" t="s">
        <v>408</v>
      </c>
      <c r="G185" s="797"/>
      <c r="H185" s="797"/>
      <c r="I185" s="797"/>
      <c r="J185" s="797"/>
      <c r="K185" s="797"/>
      <c r="L185" s="797"/>
      <c r="M185" s="797"/>
      <c r="N185" s="797"/>
      <c r="O185" s="797"/>
      <c r="P185" s="797"/>
      <c r="Q185" s="797"/>
      <c r="R185" s="797"/>
      <c r="S185" s="797"/>
      <c r="T185" s="797"/>
      <c r="U185" s="797"/>
      <c r="V185" s="797"/>
      <c r="W185" s="797"/>
      <c r="X185" s="797"/>
      <c r="Y185" s="797"/>
      <c r="Z185" s="797"/>
      <c r="AA185" s="797"/>
      <c r="AB185" s="798"/>
      <c r="AC185" s="799" t="s">
        <v>245</v>
      </c>
      <c r="AD185" s="800"/>
      <c r="AE185" s="800"/>
      <c r="AF185" s="801"/>
      <c r="AG185" s="466">
        <f>VLOOKUP(C185,[4]MATERIAL!A$1:D$65536,4,FALSE)</f>
        <v>30</v>
      </c>
      <c r="AH185" s="467"/>
      <c r="AI185" s="467"/>
      <c r="AJ185" s="468"/>
      <c r="AK185" s="737">
        <v>0.56499999999999995</v>
      </c>
      <c r="AL185" s="738"/>
      <c r="AM185" s="738"/>
      <c r="AN185" s="739"/>
      <c r="AO185" s="740">
        <f t="shared" si="4"/>
        <v>16.95</v>
      </c>
      <c r="AP185" s="741"/>
      <c r="AQ185" s="741"/>
      <c r="AR185" s="742"/>
    </row>
    <row r="186" spans="3:44" ht="18" customHeight="1">
      <c r="C186" s="758" t="s">
        <v>1397</v>
      </c>
      <c r="D186" s="759"/>
      <c r="E186" s="760"/>
      <c r="F186" s="796" t="s">
        <v>409</v>
      </c>
      <c r="G186" s="797"/>
      <c r="H186" s="797"/>
      <c r="I186" s="797"/>
      <c r="J186" s="797"/>
      <c r="K186" s="797"/>
      <c r="L186" s="797"/>
      <c r="M186" s="797"/>
      <c r="N186" s="797"/>
      <c r="O186" s="797"/>
      <c r="P186" s="797"/>
      <c r="Q186" s="797"/>
      <c r="R186" s="797"/>
      <c r="S186" s="797"/>
      <c r="T186" s="797"/>
      <c r="U186" s="797"/>
      <c r="V186" s="797"/>
      <c r="W186" s="797"/>
      <c r="X186" s="797"/>
      <c r="Y186" s="797"/>
      <c r="Z186" s="797"/>
      <c r="AA186" s="797"/>
      <c r="AB186" s="798"/>
      <c r="AC186" s="799" t="s">
        <v>245</v>
      </c>
      <c r="AD186" s="800"/>
      <c r="AE186" s="800"/>
      <c r="AF186" s="801"/>
      <c r="AG186" s="466">
        <f>VLOOKUP(C186,[4]MATERIAL!A$1:D$65536,4,FALSE)</f>
        <v>44</v>
      </c>
      <c r="AH186" s="467"/>
      <c r="AI186" s="467"/>
      <c r="AJ186" s="468"/>
      <c r="AK186" s="737">
        <v>0.752</v>
      </c>
      <c r="AL186" s="738"/>
      <c r="AM186" s="738"/>
      <c r="AN186" s="739"/>
      <c r="AO186" s="740">
        <f t="shared" si="4"/>
        <v>33.090000000000003</v>
      </c>
      <c r="AP186" s="741"/>
      <c r="AQ186" s="741"/>
      <c r="AR186" s="742"/>
    </row>
    <row r="187" spans="3:44" ht="18" customHeight="1">
      <c r="C187" s="758" t="s">
        <v>1398</v>
      </c>
      <c r="D187" s="759"/>
      <c r="E187" s="760"/>
      <c r="F187" s="796" t="s">
        <v>107</v>
      </c>
      <c r="G187" s="797"/>
      <c r="H187" s="797"/>
      <c r="I187" s="797"/>
      <c r="J187" s="797"/>
      <c r="K187" s="797"/>
      <c r="L187" s="797"/>
      <c r="M187" s="797"/>
      <c r="N187" s="797"/>
      <c r="O187" s="797"/>
      <c r="P187" s="797"/>
      <c r="Q187" s="797"/>
      <c r="R187" s="797"/>
      <c r="S187" s="797"/>
      <c r="T187" s="797"/>
      <c r="U187" s="797"/>
      <c r="V187" s="797"/>
      <c r="W187" s="797"/>
      <c r="X187" s="797"/>
      <c r="Y187" s="797"/>
      <c r="Z187" s="797"/>
      <c r="AA187" s="797"/>
      <c r="AB187" s="798"/>
      <c r="AC187" s="799" t="s">
        <v>246</v>
      </c>
      <c r="AD187" s="800"/>
      <c r="AE187" s="800"/>
      <c r="AF187" s="801"/>
      <c r="AG187" s="466">
        <f>VLOOKUP(C187,[4]MATERIAL!A$1:D$65536,4,FALSE)</f>
        <v>2.31</v>
      </c>
      <c r="AH187" s="467"/>
      <c r="AI187" s="467"/>
      <c r="AJ187" s="468"/>
      <c r="AK187" s="737">
        <v>1.51</v>
      </c>
      <c r="AL187" s="738"/>
      <c r="AM187" s="738"/>
      <c r="AN187" s="739"/>
      <c r="AO187" s="740">
        <f t="shared" si="4"/>
        <v>3.49</v>
      </c>
      <c r="AP187" s="741"/>
      <c r="AQ187" s="741"/>
      <c r="AR187" s="742"/>
    </row>
    <row r="188" spans="3:44" ht="18" customHeight="1">
      <c r="C188" s="758" t="s">
        <v>1376</v>
      </c>
      <c r="D188" s="759"/>
      <c r="E188" s="760"/>
      <c r="F188" s="37" t="s">
        <v>370</v>
      </c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9"/>
      <c r="AC188" s="799" t="s">
        <v>309</v>
      </c>
      <c r="AD188" s="800"/>
      <c r="AE188" s="800"/>
      <c r="AF188" s="801"/>
      <c r="AG188" s="466">
        <f>TRUNC(43.8/1.2031,2)</f>
        <v>36.4</v>
      </c>
      <c r="AH188" s="467"/>
      <c r="AI188" s="467"/>
      <c r="AJ188" s="468"/>
      <c r="AK188" s="737">
        <v>1</v>
      </c>
      <c r="AL188" s="738"/>
      <c r="AM188" s="738"/>
      <c r="AN188" s="739"/>
      <c r="AO188" s="740">
        <f t="shared" si="4"/>
        <v>36.4</v>
      </c>
      <c r="AP188" s="741"/>
      <c r="AQ188" s="741"/>
      <c r="AR188" s="742"/>
    </row>
    <row r="189" spans="3:44" ht="18" customHeight="1">
      <c r="C189" s="758" t="s">
        <v>239</v>
      </c>
      <c r="D189" s="759"/>
      <c r="E189" s="760"/>
      <c r="F189" s="796" t="s">
        <v>396</v>
      </c>
      <c r="G189" s="797"/>
      <c r="H189" s="797"/>
      <c r="I189" s="797"/>
      <c r="J189" s="797"/>
      <c r="K189" s="797"/>
      <c r="L189" s="797"/>
      <c r="M189" s="797"/>
      <c r="N189" s="797"/>
      <c r="O189" s="797"/>
      <c r="P189" s="797"/>
      <c r="Q189" s="797"/>
      <c r="R189" s="797"/>
      <c r="S189" s="797"/>
      <c r="T189" s="797"/>
      <c r="U189" s="797"/>
      <c r="V189" s="797"/>
      <c r="W189" s="797"/>
      <c r="X189" s="797"/>
      <c r="Y189" s="797"/>
      <c r="Z189" s="797"/>
      <c r="AA189" s="797"/>
      <c r="AB189" s="798"/>
      <c r="AC189" s="799" t="s">
        <v>309</v>
      </c>
      <c r="AD189" s="800"/>
      <c r="AE189" s="800"/>
      <c r="AF189" s="801"/>
      <c r="AG189" s="466">
        <v>10.5</v>
      </c>
      <c r="AH189" s="467"/>
      <c r="AI189" s="467"/>
      <c r="AJ189" s="468"/>
      <c r="AK189" s="737">
        <v>11.5</v>
      </c>
      <c r="AL189" s="738"/>
      <c r="AM189" s="738"/>
      <c r="AN189" s="739"/>
      <c r="AO189" s="740">
        <f t="shared" si="4"/>
        <v>120.75</v>
      </c>
      <c r="AP189" s="741"/>
      <c r="AQ189" s="741"/>
      <c r="AR189" s="742"/>
    </row>
    <row r="190" spans="3:44" ht="18" customHeight="1">
      <c r="C190" s="758" t="s">
        <v>239</v>
      </c>
      <c r="D190" s="759"/>
      <c r="E190" s="760"/>
      <c r="F190" s="796" t="s">
        <v>400</v>
      </c>
      <c r="G190" s="797"/>
      <c r="H190" s="797"/>
      <c r="I190" s="797"/>
      <c r="J190" s="797"/>
      <c r="K190" s="797"/>
      <c r="L190" s="797"/>
      <c r="M190" s="797"/>
      <c r="N190" s="797"/>
      <c r="O190" s="797"/>
      <c r="P190" s="797"/>
      <c r="Q190" s="797"/>
      <c r="R190" s="797"/>
      <c r="S190" s="797"/>
      <c r="T190" s="797"/>
      <c r="U190" s="797"/>
      <c r="V190" s="797"/>
      <c r="W190" s="797"/>
      <c r="X190" s="797"/>
      <c r="Y190" s="797"/>
      <c r="Z190" s="797"/>
      <c r="AA190" s="797"/>
      <c r="AB190" s="798"/>
      <c r="AC190" s="799" t="s">
        <v>246</v>
      </c>
      <c r="AD190" s="800"/>
      <c r="AE190" s="800"/>
      <c r="AF190" s="801"/>
      <c r="AG190" s="466">
        <v>17.5</v>
      </c>
      <c r="AH190" s="467"/>
      <c r="AI190" s="467"/>
      <c r="AJ190" s="468"/>
      <c r="AK190" s="737">
        <v>0.6</v>
      </c>
      <c r="AL190" s="738"/>
      <c r="AM190" s="738"/>
      <c r="AN190" s="739"/>
      <c r="AO190" s="740">
        <f t="shared" si="4"/>
        <v>10.5</v>
      </c>
      <c r="AP190" s="741"/>
      <c r="AQ190" s="741"/>
      <c r="AR190" s="742"/>
    </row>
    <row r="191" spans="3:44" ht="18" customHeight="1">
      <c r="C191" s="758" t="s">
        <v>1399</v>
      </c>
      <c r="D191" s="759"/>
      <c r="E191" s="760"/>
      <c r="F191" s="796" t="s">
        <v>397</v>
      </c>
      <c r="G191" s="797"/>
      <c r="H191" s="797"/>
      <c r="I191" s="797"/>
      <c r="J191" s="797"/>
      <c r="K191" s="797"/>
      <c r="L191" s="797"/>
      <c r="M191" s="797"/>
      <c r="N191" s="797"/>
      <c r="O191" s="797"/>
      <c r="P191" s="797"/>
      <c r="Q191" s="797"/>
      <c r="R191" s="797"/>
      <c r="S191" s="797"/>
      <c r="T191" s="797"/>
      <c r="U191" s="797"/>
      <c r="V191" s="797"/>
      <c r="W191" s="797"/>
      <c r="X191" s="797"/>
      <c r="Y191" s="797"/>
      <c r="Z191" s="797"/>
      <c r="AA191" s="797"/>
      <c r="AB191" s="798"/>
      <c r="AC191" s="799" t="s">
        <v>246</v>
      </c>
      <c r="AD191" s="800"/>
      <c r="AE191" s="800"/>
      <c r="AF191" s="801"/>
      <c r="AG191" s="466">
        <f>TRUNC(5.64/1.2031,2)</f>
        <v>4.68</v>
      </c>
      <c r="AH191" s="467"/>
      <c r="AI191" s="467"/>
      <c r="AJ191" s="468"/>
      <c r="AK191" s="737">
        <v>5.6</v>
      </c>
      <c r="AL191" s="738"/>
      <c r="AM191" s="738"/>
      <c r="AN191" s="739"/>
      <c r="AO191" s="740">
        <f t="shared" si="4"/>
        <v>26.21</v>
      </c>
      <c r="AP191" s="741"/>
      <c r="AQ191" s="741"/>
      <c r="AR191" s="742"/>
    </row>
    <row r="192" spans="3:44" ht="18" customHeight="1">
      <c r="C192" s="743"/>
      <c r="D192" s="744"/>
      <c r="E192" s="744"/>
      <c r="F192" s="744"/>
      <c r="G192" s="744"/>
      <c r="H192" s="744"/>
      <c r="I192" s="744"/>
      <c r="J192" s="744"/>
      <c r="K192" s="744"/>
      <c r="L192" s="744"/>
      <c r="M192" s="744"/>
      <c r="N192" s="744"/>
      <c r="O192" s="744"/>
      <c r="P192" s="744"/>
      <c r="Q192" s="744"/>
      <c r="R192" s="744"/>
      <c r="S192" s="744"/>
      <c r="T192" s="744"/>
      <c r="U192" s="744"/>
      <c r="V192" s="744"/>
      <c r="W192" s="744"/>
      <c r="X192" s="744"/>
      <c r="Y192" s="745" t="s">
        <v>88</v>
      </c>
      <c r="Z192" s="745"/>
      <c r="AA192" s="745"/>
      <c r="AB192" s="745"/>
      <c r="AC192" s="745"/>
      <c r="AD192" s="745"/>
      <c r="AE192" s="745"/>
      <c r="AF192" s="745"/>
      <c r="AG192" s="745"/>
      <c r="AH192" s="745"/>
      <c r="AI192" s="745"/>
      <c r="AJ192" s="745"/>
      <c r="AK192" s="745"/>
      <c r="AL192" s="745"/>
      <c r="AM192" s="745"/>
      <c r="AN192" s="430"/>
      <c r="AO192" s="477">
        <f>SUM(AO183:AR191)</f>
        <v>395.65999999999997</v>
      </c>
      <c r="AP192" s="746"/>
      <c r="AQ192" s="746"/>
      <c r="AR192" s="747"/>
    </row>
    <row r="194" spans="1:44" ht="18" customHeight="1">
      <c r="C194" s="794" t="s">
        <v>43</v>
      </c>
      <c r="D194" s="774"/>
      <c r="E194" s="775"/>
      <c r="F194" s="773" t="s">
        <v>89</v>
      </c>
      <c r="G194" s="774"/>
      <c r="H194" s="774"/>
      <c r="I194" s="774"/>
      <c r="J194" s="774"/>
      <c r="K194" s="774"/>
      <c r="L194" s="774"/>
      <c r="M194" s="774"/>
      <c r="N194" s="774"/>
      <c r="O194" s="774"/>
      <c r="P194" s="774"/>
      <c r="Q194" s="774"/>
      <c r="R194" s="775"/>
      <c r="S194" s="773" t="s">
        <v>90</v>
      </c>
      <c r="T194" s="774"/>
      <c r="U194" s="775"/>
      <c r="V194" s="773" t="s">
        <v>91</v>
      </c>
      <c r="W194" s="774"/>
      <c r="X194" s="775"/>
      <c r="Y194" s="773" t="s">
        <v>92</v>
      </c>
      <c r="Z194" s="774"/>
      <c r="AA194" s="774"/>
      <c r="AB194" s="774"/>
      <c r="AC194" s="774"/>
      <c r="AD194" s="775"/>
      <c r="AE194" s="773" t="s">
        <v>93</v>
      </c>
      <c r="AF194" s="774"/>
      <c r="AG194" s="775"/>
      <c r="AH194" s="773" t="s">
        <v>94</v>
      </c>
      <c r="AI194" s="774"/>
      <c r="AJ194" s="775"/>
      <c r="AK194" s="773" t="s">
        <v>86</v>
      </c>
      <c r="AL194" s="774"/>
      <c r="AM194" s="774"/>
      <c r="AN194" s="775"/>
      <c r="AO194" s="773" t="s">
        <v>87</v>
      </c>
      <c r="AP194" s="774"/>
      <c r="AQ194" s="774"/>
      <c r="AR194" s="779"/>
    </row>
    <row r="195" spans="1:44" ht="18" customHeight="1">
      <c r="C195" s="795"/>
      <c r="D195" s="777"/>
      <c r="E195" s="778"/>
      <c r="F195" s="776"/>
      <c r="G195" s="777"/>
      <c r="H195" s="777"/>
      <c r="I195" s="777"/>
      <c r="J195" s="777"/>
      <c r="K195" s="777"/>
      <c r="L195" s="777"/>
      <c r="M195" s="777"/>
      <c r="N195" s="777"/>
      <c r="O195" s="777"/>
      <c r="P195" s="777"/>
      <c r="Q195" s="777"/>
      <c r="R195" s="778"/>
      <c r="S195" s="776"/>
      <c r="T195" s="777"/>
      <c r="U195" s="778"/>
      <c r="V195" s="776"/>
      <c r="W195" s="777"/>
      <c r="X195" s="778"/>
      <c r="Y195" s="776"/>
      <c r="Z195" s="777"/>
      <c r="AA195" s="777"/>
      <c r="AB195" s="777"/>
      <c r="AC195" s="777"/>
      <c r="AD195" s="778"/>
      <c r="AE195" s="776"/>
      <c r="AF195" s="777"/>
      <c r="AG195" s="778"/>
      <c r="AH195" s="776"/>
      <c r="AI195" s="777"/>
      <c r="AJ195" s="778"/>
      <c r="AK195" s="776"/>
      <c r="AL195" s="777"/>
      <c r="AM195" s="777"/>
      <c r="AN195" s="778"/>
      <c r="AO195" s="776"/>
      <c r="AP195" s="777"/>
      <c r="AQ195" s="777"/>
      <c r="AR195" s="780"/>
    </row>
    <row r="196" spans="1:44" ht="18" customHeight="1">
      <c r="C196" s="781"/>
      <c r="D196" s="782"/>
      <c r="E196" s="783"/>
      <c r="F196" s="457"/>
      <c r="G196" s="457"/>
      <c r="H196" s="457"/>
      <c r="I196" s="457"/>
      <c r="J196" s="457"/>
      <c r="K196" s="457"/>
      <c r="L196" s="457"/>
      <c r="M196" s="457"/>
      <c r="N196" s="457"/>
      <c r="O196" s="457"/>
      <c r="P196" s="457"/>
      <c r="Q196" s="457"/>
      <c r="R196" s="457"/>
      <c r="S196" s="784"/>
      <c r="T196" s="785"/>
      <c r="U196" s="786"/>
      <c r="V196" s="784"/>
      <c r="W196" s="785"/>
      <c r="X196" s="786"/>
      <c r="Y196" s="787"/>
      <c r="Z196" s="788"/>
      <c r="AA196" s="788"/>
      <c r="AB196" s="788"/>
      <c r="AC196" s="788"/>
      <c r="AD196" s="789"/>
      <c r="AE196" s="449"/>
      <c r="AF196" s="449"/>
      <c r="AG196" s="449"/>
      <c r="AH196" s="770"/>
      <c r="AI196" s="771"/>
      <c r="AJ196" s="790"/>
      <c r="AK196" s="791"/>
      <c r="AL196" s="792"/>
      <c r="AM196" s="792"/>
      <c r="AN196" s="793"/>
      <c r="AO196" s="770"/>
      <c r="AP196" s="771"/>
      <c r="AQ196" s="771"/>
      <c r="AR196" s="772"/>
    </row>
    <row r="197" spans="1:44" ht="18" customHeight="1">
      <c r="C197" s="758"/>
      <c r="D197" s="759"/>
      <c r="E197" s="760"/>
      <c r="F197" s="761"/>
      <c r="G197" s="762"/>
      <c r="H197" s="762"/>
      <c r="I197" s="762"/>
      <c r="J197" s="762"/>
      <c r="K197" s="762"/>
      <c r="L197" s="762"/>
      <c r="M197" s="762"/>
      <c r="N197" s="762"/>
      <c r="O197" s="762"/>
      <c r="P197" s="762"/>
      <c r="Q197" s="762"/>
      <c r="R197" s="763"/>
      <c r="S197" s="764"/>
      <c r="T197" s="765"/>
      <c r="U197" s="766"/>
      <c r="V197" s="764"/>
      <c r="W197" s="765"/>
      <c r="X197" s="766"/>
      <c r="Y197" s="767"/>
      <c r="Z197" s="768"/>
      <c r="AA197" s="768"/>
      <c r="AB197" s="768"/>
      <c r="AC197" s="768"/>
      <c r="AD197" s="769"/>
      <c r="AE197" s="740"/>
      <c r="AF197" s="741"/>
      <c r="AG197" s="757"/>
      <c r="AH197" s="740"/>
      <c r="AI197" s="741"/>
      <c r="AJ197" s="757"/>
      <c r="AK197" s="737"/>
      <c r="AL197" s="738"/>
      <c r="AM197" s="738"/>
      <c r="AN197" s="739"/>
      <c r="AO197" s="740">
        <f t="shared" ref="AO197:AO203" si="5">ROUND(AE197*AH197*AK197,2)</f>
        <v>0</v>
      </c>
      <c r="AP197" s="741"/>
      <c r="AQ197" s="741"/>
      <c r="AR197" s="742"/>
    </row>
    <row r="198" spans="1:44" ht="18" customHeight="1">
      <c r="C198" s="758"/>
      <c r="D198" s="759"/>
      <c r="E198" s="760"/>
      <c r="F198" s="761"/>
      <c r="G198" s="762"/>
      <c r="H198" s="762"/>
      <c r="I198" s="762"/>
      <c r="J198" s="762"/>
      <c r="K198" s="762"/>
      <c r="L198" s="762"/>
      <c r="M198" s="762"/>
      <c r="N198" s="762"/>
      <c r="O198" s="762"/>
      <c r="P198" s="762"/>
      <c r="Q198" s="762"/>
      <c r="R198" s="763"/>
      <c r="S198" s="764"/>
      <c r="T198" s="765"/>
      <c r="U198" s="766"/>
      <c r="V198" s="764"/>
      <c r="W198" s="765"/>
      <c r="X198" s="766"/>
      <c r="Y198" s="767"/>
      <c r="Z198" s="768"/>
      <c r="AA198" s="768"/>
      <c r="AB198" s="768"/>
      <c r="AC198" s="768"/>
      <c r="AD198" s="769"/>
      <c r="AE198" s="740"/>
      <c r="AF198" s="741"/>
      <c r="AG198" s="757"/>
      <c r="AH198" s="740"/>
      <c r="AI198" s="741"/>
      <c r="AJ198" s="757"/>
      <c r="AK198" s="737"/>
      <c r="AL198" s="738"/>
      <c r="AM198" s="738"/>
      <c r="AN198" s="739"/>
      <c r="AO198" s="740">
        <f t="shared" si="5"/>
        <v>0</v>
      </c>
      <c r="AP198" s="741"/>
      <c r="AQ198" s="741"/>
      <c r="AR198" s="742"/>
    </row>
    <row r="199" spans="1:44" ht="18" customHeight="1">
      <c r="C199" s="758"/>
      <c r="D199" s="759"/>
      <c r="E199" s="760"/>
      <c r="F199" s="761"/>
      <c r="G199" s="762"/>
      <c r="H199" s="762"/>
      <c r="I199" s="762"/>
      <c r="J199" s="762"/>
      <c r="K199" s="762"/>
      <c r="L199" s="762"/>
      <c r="M199" s="762"/>
      <c r="N199" s="762"/>
      <c r="O199" s="762"/>
      <c r="P199" s="762"/>
      <c r="Q199" s="762"/>
      <c r="R199" s="763"/>
      <c r="S199" s="764"/>
      <c r="T199" s="765"/>
      <c r="U199" s="766"/>
      <c r="V199" s="764"/>
      <c r="W199" s="765"/>
      <c r="X199" s="766"/>
      <c r="Y199" s="767"/>
      <c r="Z199" s="768"/>
      <c r="AA199" s="768"/>
      <c r="AB199" s="768"/>
      <c r="AC199" s="768"/>
      <c r="AD199" s="769"/>
      <c r="AE199" s="740"/>
      <c r="AF199" s="741"/>
      <c r="AG199" s="757"/>
      <c r="AH199" s="740"/>
      <c r="AI199" s="741"/>
      <c r="AJ199" s="757"/>
      <c r="AK199" s="737"/>
      <c r="AL199" s="738"/>
      <c r="AM199" s="738"/>
      <c r="AN199" s="739"/>
      <c r="AO199" s="740">
        <f t="shared" si="5"/>
        <v>0</v>
      </c>
      <c r="AP199" s="741"/>
      <c r="AQ199" s="741"/>
      <c r="AR199" s="742"/>
    </row>
    <row r="200" spans="1:44" ht="18" customHeight="1">
      <c r="C200" s="758"/>
      <c r="D200" s="759"/>
      <c r="E200" s="760"/>
      <c r="F200" s="761"/>
      <c r="G200" s="762"/>
      <c r="H200" s="762"/>
      <c r="I200" s="762"/>
      <c r="J200" s="762"/>
      <c r="K200" s="762"/>
      <c r="L200" s="762"/>
      <c r="M200" s="762"/>
      <c r="N200" s="762"/>
      <c r="O200" s="762"/>
      <c r="P200" s="762"/>
      <c r="Q200" s="762"/>
      <c r="R200" s="763"/>
      <c r="S200" s="764"/>
      <c r="T200" s="765"/>
      <c r="U200" s="766"/>
      <c r="V200" s="764"/>
      <c r="W200" s="765"/>
      <c r="X200" s="766"/>
      <c r="Y200" s="767"/>
      <c r="Z200" s="768"/>
      <c r="AA200" s="768"/>
      <c r="AB200" s="768"/>
      <c r="AC200" s="768"/>
      <c r="AD200" s="769"/>
      <c r="AE200" s="740"/>
      <c r="AF200" s="741"/>
      <c r="AG200" s="757"/>
      <c r="AH200" s="740"/>
      <c r="AI200" s="741"/>
      <c r="AJ200" s="757"/>
      <c r="AK200" s="737"/>
      <c r="AL200" s="738"/>
      <c r="AM200" s="738"/>
      <c r="AN200" s="739"/>
      <c r="AO200" s="740">
        <f t="shared" si="5"/>
        <v>0</v>
      </c>
      <c r="AP200" s="741"/>
      <c r="AQ200" s="741"/>
      <c r="AR200" s="742"/>
    </row>
    <row r="201" spans="1:44" ht="18" customHeight="1">
      <c r="C201" s="758"/>
      <c r="D201" s="759"/>
      <c r="E201" s="760"/>
      <c r="F201" s="761"/>
      <c r="G201" s="762"/>
      <c r="H201" s="762"/>
      <c r="I201" s="762"/>
      <c r="J201" s="762"/>
      <c r="K201" s="762"/>
      <c r="L201" s="762"/>
      <c r="M201" s="762"/>
      <c r="N201" s="762"/>
      <c r="O201" s="762"/>
      <c r="P201" s="762"/>
      <c r="Q201" s="762"/>
      <c r="R201" s="763"/>
      <c r="S201" s="764"/>
      <c r="T201" s="765"/>
      <c r="U201" s="766"/>
      <c r="V201" s="764"/>
      <c r="W201" s="765"/>
      <c r="X201" s="766"/>
      <c r="Y201" s="767"/>
      <c r="Z201" s="768"/>
      <c r="AA201" s="768"/>
      <c r="AB201" s="768"/>
      <c r="AC201" s="768"/>
      <c r="AD201" s="769"/>
      <c r="AE201" s="740"/>
      <c r="AF201" s="741"/>
      <c r="AG201" s="757"/>
      <c r="AH201" s="740"/>
      <c r="AI201" s="741"/>
      <c r="AJ201" s="757"/>
      <c r="AK201" s="737"/>
      <c r="AL201" s="738"/>
      <c r="AM201" s="738"/>
      <c r="AN201" s="739"/>
      <c r="AO201" s="740">
        <f t="shared" si="5"/>
        <v>0</v>
      </c>
      <c r="AP201" s="741"/>
      <c r="AQ201" s="741"/>
      <c r="AR201" s="742"/>
    </row>
    <row r="202" spans="1:44" ht="18" customHeight="1">
      <c r="C202" s="758"/>
      <c r="D202" s="759"/>
      <c r="E202" s="760"/>
      <c r="F202" s="761"/>
      <c r="G202" s="762"/>
      <c r="H202" s="762"/>
      <c r="I202" s="762"/>
      <c r="J202" s="762"/>
      <c r="K202" s="762"/>
      <c r="L202" s="762"/>
      <c r="M202" s="762"/>
      <c r="N202" s="762"/>
      <c r="O202" s="762"/>
      <c r="P202" s="762"/>
      <c r="Q202" s="762"/>
      <c r="R202" s="763"/>
      <c r="S202" s="764"/>
      <c r="T202" s="765"/>
      <c r="U202" s="766"/>
      <c r="V202" s="764"/>
      <c r="W202" s="765"/>
      <c r="X202" s="766"/>
      <c r="Y202" s="767"/>
      <c r="Z202" s="768"/>
      <c r="AA202" s="768"/>
      <c r="AB202" s="768"/>
      <c r="AC202" s="768"/>
      <c r="AD202" s="769"/>
      <c r="AE202" s="740"/>
      <c r="AF202" s="741"/>
      <c r="AG202" s="757"/>
      <c r="AH202" s="740"/>
      <c r="AI202" s="741"/>
      <c r="AJ202" s="757"/>
      <c r="AK202" s="737"/>
      <c r="AL202" s="738"/>
      <c r="AM202" s="738"/>
      <c r="AN202" s="739"/>
      <c r="AO202" s="740">
        <f t="shared" si="5"/>
        <v>0</v>
      </c>
      <c r="AP202" s="741"/>
      <c r="AQ202" s="741"/>
      <c r="AR202" s="742"/>
    </row>
    <row r="203" spans="1:44" ht="18" customHeight="1">
      <c r="C203" s="758"/>
      <c r="D203" s="759"/>
      <c r="E203" s="760"/>
      <c r="F203" s="761"/>
      <c r="G203" s="762"/>
      <c r="H203" s="762"/>
      <c r="I203" s="762"/>
      <c r="J203" s="762"/>
      <c r="K203" s="762"/>
      <c r="L203" s="762"/>
      <c r="M203" s="762"/>
      <c r="N203" s="762"/>
      <c r="O203" s="762"/>
      <c r="P203" s="762"/>
      <c r="Q203" s="762"/>
      <c r="R203" s="763"/>
      <c r="S203" s="764"/>
      <c r="T203" s="765"/>
      <c r="U203" s="766"/>
      <c r="V203" s="764"/>
      <c r="W203" s="765"/>
      <c r="X203" s="766"/>
      <c r="Y203" s="767"/>
      <c r="Z203" s="768"/>
      <c r="AA203" s="768"/>
      <c r="AB203" s="768"/>
      <c r="AC203" s="768"/>
      <c r="AD203" s="769"/>
      <c r="AE203" s="740"/>
      <c r="AF203" s="741"/>
      <c r="AG203" s="757"/>
      <c r="AH203" s="740"/>
      <c r="AI203" s="741"/>
      <c r="AJ203" s="757"/>
      <c r="AK203" s="737"/>
      <c r="AL203" s="738"/>
      <c r="AM203" s="738"/>
      <c r="AN203" s="739"/>
      <c r="AO203" s="740">
        <f t="shared" si="5"/>
        <v>0</v>
      </c>
      <c r="AP203" s="741"/>
      <c r="AQ203" s="741"/>
      <c r="AR203" s="742"/>
    </row>
    <row r="204" spans="1:44" ht="18" customHeight="1">
      <c r="C204" s="743"/>
      <c r="D204" s="744"/>
      <c r="E204" s="744"/>
      <c r="F204" s="744"/>
      <c r="G204" s="744"/>
      <c r="H204" s="744"/>
      <c r="I204" s="744"/>
      <c r="J204" s="744"/>
      <c r="K204" s="744"/>
      <c r="L204" s="744"/>
      <c r="M204" s="744"/>
      <c r="N204" s="744"/>
      <c r="O204" s="744"/>
      <c r="P204" s="744"/>
      <c r="Q204" s="744"/>
      <c r="R204" s="744"/>
      <c r="S204" s="744"/>
      <c r="T204" s="744"/>
      <c r="U204" s="744"/>
      <c r="V204" s="744"/>
      <c r="W204" s="744"/>
      <c r="X204" s="744"/>
      <c r="Y204" s="745" t="s">
        <v>95</v>
      </c>
      <c r="Z204" s="745"/>
      <c r="AA204" s="745"/>
      <c r="AB204" s="745"/>
      <c r="AC204" s="745"/>
      <c r="AD204" s="745"/>
      <c r="AE204" s="745"/>
      <c r="AF204" s="745"/>
      <c r="AG204" s="745"/>
      <c r="AH204" s="745"/>
      <c r="AI204" s="745"/>
      <c r="AJ204" s="745"/>
      <c r="AK204" s="745"/>
      <c r="AL204" s="745"/>
      <c r="AM204" s="745"/>
      <c r="AN204" s="430"/>
      <c r="AO204" s="477">
        <f>SUM(AO196:AR203)</f>
        <v>0</v>
      </c>
      <c r="AP204" s="746"/>
      <c r="AQ204" s="746"/>
      <c r="AR204" s="747"/>
    </row>
    <row r="206" spans="1:44" ht="18" customHeight="1">
      <c r="C206" s="434"/>
      <c r="D206" s="434"/>
      <c r="E206" s="434"/>
      <c r="F206" s="434"/>
      <c r="G206" s="434"/>
      <c r="H206" s="434"/>
      <c r="I206" s="434"/>
      <c r="J206" s="434"/>
      <c r="K206" s="434"/>
      <c r="L206" s="434"/>
      <c r="M206" s="434"/>
      <c r="N206" s="434"/>
      <c r="O206" s="434"/>
      <c r="P206" s="434"/>
      <c r="Q206" s="434"/>
      <c r="R206" s="434"/>
      <c r="S206" s="434"/>
      <c r="T206" s="434"/>
      <c r="U206" s="434"/>
      <c r="V206" s="434"/>
      <c r="W206" s="434"/>
      <c r="X206" s="748"/>
      <c r="Y206" s="749" t="s">
        <v>96</v>
      </c>
      <c r="Z206" s="750"/>
      <c r="AA206" s="750"/>
      <c r="AB206" s="750"/>
      <c r="AC206" s="750"/>
      <c r="AD206" s="750"/>
      <c r="AE206" s="750"/>
      <c r="AF206" s="750"/>
      <c r="AG206" s="750"/>
      <c r="AH206" s="750"/>
      <c r="AI206" s="750"/>
      <c r="AJ206" s="750"/>
      <c r="AK206" s="750"/>
      <c r="AL206" s="750"/>
      <c r="AM206" s="750"/>
      <c r="AN206" s="751"/>
      <c r="AO206" s="752">
        <f>AO179+AO192+AO204</f>
        <v>440.35999999999996</v>
      </c>
      <c r="AP206" s="753"/>
      <c r="AQ206" s="753"/>
      <c r="AR206" s="754"/>
    </row>
    <row r="207" spans="1:44" ht="18" customHeight="1">
      <c r="C207" s="434"/>
      <c r="D207" s="434"/>
      <c r="E207" s="434"/>
      <c r="F207" s="434"/>
      <c r="G207" s="434"/>
      <c r="H207" s="434"/>
      <c r="I207" s="434"/>
      <c r="J207" s="434"/>
      <c r="K207" s="434"/>
      <c r="L207" s="434"/>
      <c r="M207" s="434"/>
      <c r="N207" s="434"/>
      <c r="O207" s="434"/>
      <c r="P207" s="434"/>
      <c r="Q207" s="434"/>
      <c r="R207" s="434"/>
      <c r="S207" s="434"/>
      <c r="T207" s="434"/>
      <c r="U207" s="434"/>
      <c r="V207" s="434"/>
      <c r="W207" s="434"/>
      <c r="X207" s="748"/>
      <c r="Y207" s="755" t="s">
        <v>97</v>
      </c>
      <c r="Z207" s="756"/>
      <c r="AA207" s="756"/>
      <c r="AB207" s="756"/>
      <c r="AC207" s="756"/>
      <c r="AD207" s="756"/>
      <c r="AE207" s="756"/>
      <c r="AF207" s="756"/>
      <c r="AG207" s="756"/>
      <c r="AH207" s="442">
        <v>0.2031</v>
      </c>
      <c r="AI207" s="442"/>
      <c r="AJ207" s="442"/>
      <c r="AK207" s="442"/>
      <c r="AL207" s="442"/>
      <c r="AM207" s="442"/>
      <c r="AN207" s="443"/>
      <c r="AO207" s="728">
        <f>ROUND(AO206*AH207,2)</f>
        <v>89.44</v>
      </c>
      <c r="AP207" s="729"/>
      <c r="AQ207" s="729"/>
      <c r="AR207" s="730"/>
    </row>
    <row r="208" spans="1:44" ht="18" customHeight="1">
      <c r="A208" s="415" t="s">
        <v>362</v>
      </c>
      <c r="B208" s="415"/>
      <c r="C208" s="434"/>
      <c r="D208" s="434"/>
      <c r="E208" s="434"/>
      <c r="F208" s="434"/>
      <c r="G208" s="434"/>
      <c r="H208" s="434"/>
      <c r="I208" s="434"/>
      <c r="J208" s="434"/>
      <c r="K208" s="434"/>
      <c r="L208" s="434"/>
      <c r="M208" s="434"/>
      <c r="N208" s="434"/>
      <c r="O208" s="434"/>
      <c r="P208" s="434"/>
      <c r="Q208" s="434"/>
      <c r="R208" s="434"/>
      <c r="S208" s="434"/>
      <c r="T208" s="434"/>
      <c r="U208" s="434"/>
      <c r="V208" s="434"/>
      <c r="W208" s="434"/>
      <c r="X208" s="748"/>
      <c r="Y208" s="731" t="s">
        <v>98</v>
      </c>
      <c r="Z208" s="732"/>
      <c r="AA208" s="732"/>
      <c r="AB208" s="732"/>
      <c r="AC208" s="732"/>
      <c r="AD208" s="732"/>
      <c r="AE208" s="732"/>
      <c r="AF208" s="732"/>
      <c r="AG208" s="732"/>
      <c r="AH208" s="732"/>
      <c r="AI208" s="732"/>
      <c r="AJ208" s="732"/>
      <c r="AK208" s="732"/>
      <c r="AL208" s="732"/>
      <c r="AM208" s="732"/>
      <c r="AN208" s="733"/>
      <c r="AO208" s="734">
        <f>SUM(AO206:AR207)</f>
        <v>529.79999999999995</v>
      </c>
      <c r="AP208" s="735"/>
      <c r="AQ208" s="735"/>
      <c r="AR208" s="736"/>
    </row>
    <row r="210" spans="3:44" ht="18" customHeight="1">
      <c r="C210" s="420" t="s">
        <v>99</v>
      </c>
      <c r="D210" s="421"/>
      <c r="E210" s="421"/>
      <c r="F210" s="421"/>
      <c r="G210" s="421"/>
      <c r="H210" s="421"/>
      <c r="I210" s="422"/>
      <c r="J210" s="422"/>
      <c r="K210" s="422"/>
      <c r="L210" s="422"/>
      <c r="M210" s="422"/>
      <c r="N210" s="422"/>
      <c r="O210" s="422"/>
      <c r="P210" s="422"/>
      <c r="Q210" s="422"/>
      <c r="R210" s="422"/>
      <c r="S210" s="422"/>
      <c r="T210" s="422"/>
      <c r="U210" s="422"/>
      <c r="V210" s="422"/>
      <c r="W210" s="422"/>
      <c r="X210" s="422"/>
      <c r="Y210" s="422"/>
      <c r="Z210" s="422"/>
      <c r="AA210" s="422"/>
      <c r="AB210" s="422"/>
      <c r="AC210" s="422"/>
      <c r="AD210" s="422"/>
      <c r="AE210" s="422"/>
      <c r="AF210" s="422"/>
      <c r="AG210" s="422"/>
      <c r="AH210" s="422"/>
      <c r="AI210" s="422"/>
      <c r="AJ210" s="422"/>
      <c r="AK210" s="422"/>
      <c r="AL210" s="422"/>
      <c r="AM210" s="422"/>
      <c r="AN210" s="422"/>
      <c r="AO210" s="422"/>
      <c r="AP210" s="422"/>
      <c r="AQ210" s="422"/>
      <c r="AR210" s="423"/>
    </row>
    <row r="211" spans="3:44" ht="18" customHeight="1">
      <c r="C211" s="411"/>
      <c r="D211" s="412"/>
      <c r="E211" s="412"/>
      <c r="F211" s="412"/>
      <c r="G211" s="412"/>
      <c r="H211" s="412"/>
      <c r="I211" s="409"/>
      <c r="J211" s="409"/>
      <c r="K211" s="409"/>
      <c r="L211" s="409"/>
      <c r="M211" s="409"/>
      <c r="N211" s="409"/>
      <c r="O211" s="409"/>
      <c r="P211" s="409"/>
      <c r="Q211" s="409"/>
      <c r="R211" s="409"/>
      <c r="S211" s="409"/>
      <c r="T211" s="409"/>
      <c r="U211" s="409"/>
      <c r="V211" s="409"/>
      <c r="W211" s="409"/>
      <c r="X211" s="409"/>
      <c r="Y211" s="409"/>
      <c r="Z211" s="409"/>
      <c r="AA211" s="409"/>
      <c r="AB211" s="409"/>
      <c r="AC211" s="409"/>
      <c r="AD211" s="409"/>
      <c r="AE211" s="409"/>
      <c r="AF211" s="409"/>
      <c r="AG211" s="409"/>
      <c r="AH211" s="409"/>
      <c r="AI211" s="409"/>
      <c r="AJ211" s="409"/>
      <c r="AK211" s="409"/>
      <c r="AL211" s="409"/>
      <c r="AM211" s="409"/>
      <c r="AN211" s="409"/>
      <c r="AO211" s="409"/>
      <c r="AP211" s="409"/>
      <c r="AQ211" s="409"/>
      <c r="AR211" s="410"/>
    </row>
    <row r="212" spans="3:44" ht="18" customHeight="1">
      <c r="C212" s="411"/>
      <c r="D212" s="412"/>
      <c r="E212" s="412"/>
      <c r="F212" s="412"/>
      <c r="G212" s="412"/>
      <c r="H212" s="412"/>
      <c r="I212" s="409"/>
      <c r="J212" s="409"/>
      <c r="K212" s="409"/>
      <c r="L212" s="409"/>
      <c r="M212" s="409"/>
      <c r="N212" s="409"/>
      <c r="O212" s="409"/>
      <c r="P212" s="409"/>
      <c r="Q212" s="409"/>
      <c r="R212" s="409"/>
      <c r="S212" s="409"/>
      <c r="T212" s="409"/>
      <c r="U212" s="409"/>
      <c r="V212" s="409"/>
      <c r="W212" s="409"/>
      <c r="X212" s="409"/>
      <c r="Y212" s="409"/>
      <c r="Z212" s="409"/>
      <c r="AA212" s="409"/>
      <c r="AB212" s="409"/>
      <c r="AC212" s="409"/>
      <c r="AD212" s="409"/>
      <c r="AE212" s="409"/>
      <c r="AF212" s="409"/>
      <c r="AG212" s="409"/>
      <c r="AH212" s="409"/>
      <c r="AI212" s="409"/>
      <c r="AJ212" s="409"/>
      <c r="AK212" s="409"/>
      <c r="AL212" s="409"/>
      <c r="AM212" s="409"/>
      <c r="AN212" s="409"/>
      <c r="AO212" s="409"/>
      <c r="AP212" s="409"/>
      <c r="AQ212" s="409"/>
      <c r="AR212" s="410"/>
    </row>
    <row r="213" spans="3:44" ht="18" customHeight="1">
      <c r="C213" s="411"/>
      <c r="D213" s="412"/>
      <c r="E213" s="412"/>
      <c r="F213" s="412"/>
      <c r="G213" s="412"/>
      <c r="H213" s="412"/>
      <c r="I213" s="409"/>
      <c r="J213" s="409"/>
      <c r="K213" s="409"/>
      <c r="L213" s="409"/>
      <c r="M213" s="409"/>
      <c r="N213" s="409"/>
      <c r="O213" s="409"/>
      <c r="P213" s="409"/>
      <c r="Q213" s="409"/>
      <c r="R213" s="409"/>
      <c r="S213" s="409"/>
      <c r="T213" s="409"/>
      <c r="U213" s="409"/>
      <c r="V213" s="409"/>
      <c r="W213" s="409"/>
      <c r="X213" s="409"/>
      <c r="Y213" s="409"/>
      <c r="Z213" s="409"/>
      <c r="AA213" s="409"/>
      <c r="AB213" s="409"/>
      <c r="AC213" s="409"/>
      <c r="AD213" s="409"/>
      <c r="AE213" s="409"/>
      <c r="AF213" s="409"/>
      <c r="AG213" s="409"/>
      <c r="AH213" s="409"/>
      <c r="AI213" s="409"/>
      <c r="AJ213" s="409"/>
      <c r="AK213" s="409"/>
      <c r="AL213" s="409"/>
      <c r="AM213" s="409"/>
      <c r="AN213" s="409"/>
      <c r="AO213" s="409"/>
      <c r="AP213" s="409"/>
      <c r="AQ213" s="409"/>
      <c r="AR213" s="410"/>
    </row>
    <row r="214" spans="3:44" ht="18" customHeight="1">
      <c r="C214" s="411"/>
      <c r="D214" s="412"/>
      <c r="E214" s="412"/>
      <c r="F214" s="412"/>
      <c r="G214" s="412"/>
      <c r="H214" s="412"/>
      <c r="I214" s="409"/>
      <c r="J214" s="409"/>
      <c r="K214" s="409"/>
      <c r="L214" s="409"/>
      <c r="M214" s="409"/>
      <c r="N214" s="409"/>
      <c r="O214" s="409"/>
      <c r="P214" s="409"/>
      <c r="Q214" s="409"/>
      <c r="R214" s="409"/>
      <c r="S214" s="409"/>
      <c r="T214" s="409"/>
      <c r="U214" s="409"/>
      <c r="V214" s="409"/>
      <c r="W214" s="409"/>
      <c r="X214" s="409"/>
      <c r="Y214" s="409"/>
      <c r="Z214" s="409"/>
      <c r="AA214" s="409"/>
      <c r="AB214" s="409"/>
      <c r="AC214" s="409"/>
      <c r="AD214" s="409"/>
      <c r="AE214" s="409"/>
      <c r="AF214" s="409"/>
      <c r="AG214" s="409"/>
      <c r="AH214" s="409"/>
      <c r="AI214" s="409"/>
      <c r="AJ214" s="409"/>
      <c r="AK214" s="409"/>
      <c r="AL214" s="409"/>
      <c r="AM214" s="409"/>
      <c r="AN214" s="409"/>
      <c r="AO214" s="409"/>
      <c r="AP214" s="409"/>
      <c r="AQ214" s="409"/>
      <c r="AR214" s="410"/>
    </row>
    <row r="215" spans="3:44" ht="18" customHeight="1">
      <c r="C215" s="385"/>
      <c r="D215" s="386"/>
      <c r="E215" s="386"/>
      <c r="F215" s="386"/>
      <c r="G215" s="386"/>
      <c r="H215" s="386"/>
      <c r="I215" s="387"/>
      <c r="J215" s="387"/>
      <c r="K215" s="387"/>
      <c r="L215" s="387"/>
      <c r="M215" s="387"/>
      <c r="N215" s="387"/>
      <c r="O215" s="387"/>
      <c r="P215" s="387"/>
      <c r="Q215" s="387"/>
      <c r="R215" s="387"/>
      <c r="S215" s="387"/>
      <c r="T215" s="387"/>
      <c r="U215" s="387"/>
      <c r="V215" s="387"/>
      <c r="W215" s="387"/>
      <c r="X215" s="387"/>
      <c r="Y215" s="387"/>
      <c r="Z215" s="387"/>
      <c r="AA215" s="387"/>
      <c r="AB215" s="387"/>
      <c r="AC215" s="387"/>
      <c r="AD215" s="387"/>
      <c r="AE215" s="387"/>
      <c r="AF215" s="387"/>
      <c r="AG215" s="387"/>
      <c r="AH215" s="387"/>
      <c r="AI215" s="387"/>
      <c r="AJ215" s="387"/>
      <c r="AK215" s="387"/>
      <c r="AL215" s="387"/>
      <c r="AM215" s="387"/>
      <c r="AN215" s="387"/>
      <c r="AO215" s="387"/>
      <c r="AP215" s="387"/>
      <c r="AQ215" s="387"/>
      <c r="AR215" s="388"/>
    </row>
    <row r="217" spans="3:44" ht="18" customHeight="1">
      <c r="C217" s="389" t="s">
        <v>100</v>
      </c>
      <c r="D217" s="390"/>
      <c r="E217" s="390"/>
      <c r="F217" s="390"/>
      <c r="G217" s="390"/>
      <c r="H217" s="390"/>
      <c r="I217" s="390"/>
      <c r="J217" s="390"/>
      <c r="K217" s="390"/>
      <c r="L217" s="390"/>
      <c r="M217" s="390"/>
      <c r="N217" s="390"/>
      <c r="O217" s="390"/>
      <c r="P217" s="390"/>
      <c r="Q217" s="390"/>
      <c r="R217" s="390"/>
      <c r="S217" s="390"/>
      <c r="T217" s="390"/>
      <c r="U217" s="390"/>
      <c r="V217" s="390"/>
      <c r="W217" s="390"/>
      <c r="X217" s="390"/>
      <c r="Y217" s="390"/>
      <c r="Z217" s="390"/>
      <c r="AA217" s="391"/>
      <c r="AB217" s="392" t="str">
        <f>[4]C.UNIT.SERV.!$E$5</f>
        <v>DATA-BASE:      MAIO/2011/PR</v>
      </c>
      <c r="AC217" s="393"/>
      <c r="AD217" s="393"/>
      <c r="AE217" s="393"/>
      <c r="AF217" s="393"/>
      <c r="AG217" s="393"/>
      <c r="AH217" s="393"/>
      <c r="AI217" s="394"/>
      <c r="AJ217" s="392"/>
      <c r="AK217" s="393"/>
      <c r="AL217" s="393"/>
      <c r="AM217" s="393"/>
      <c r="AN217" s="393"/>
      <c r="AO217" s="393"/>
      <c r="AP217" s="393"/>
      <c r="AQ217" s="393"/>
      <c r="AR217" s="401"/>
    </row>
    <row r="218" spans="3:44" ht="18" customHeight="1">
      <c r="C218" s="404" t="s">
        <v>101</v>
      </c>
      <c r="D218" s="405"/>
      <c r="E218" s="405"/>
      <c r="F218" s="405"/>
      <c r="G218" s="405" t="s">
        <v>283</v>
      </c>
      <c r="H218" s="405"/>
      <c r="I218" s="405"/>
      <c r="J218" s="405"/>
      <c r="K218" s="405"/>
      <c r="L218" s="405"/>
      <c r="M218" s="405"/>
      <c r="N218" s="405"/>
      <c r="O218" s="405"/>
      <c r="P218" s="405"/>
      <c r="Q218" s="405"/>
      <c r="R218" s="405"/>
      <c r="S218" s="405"/>
      <c r="T218" s="405"/>
      <c r="U218" s="405"/>
      <c r="V218" s="405"/>
      <c r="W218" s="405"/>
      <c r="X218" s="405"/>
      <c r="Y218" s="405"/>
      <c r="Z218" s="405"/>
      <c r="AA218" s="406"/>
      <c r="AB218" s="395"/>
      <c r="AC218" s="396"/>
      <c r="AD218" s="396"/>
      <c r="AE218" s="396"/>
      <c r="AF218" s="396"/>
      <c r="AG218" s="396"/>
      <c r="AH218" s="396"/>
      <c r="AI218" s="397"/>
      <c r="AJ218" s="395"/>
      <c r="AK218" s="396"/>
      <c r="AL218" s="396"/>
      <c r="AM218" s="396"/>
      <c r="AN218" s="396"/>
      <c r="AO218" s="396"/>
      <c r="AP218" s="396"/>
      <c r="AQ218" s="396"/>
      <c r="AR218" s="402"/>
    </row>
    <row r="219" spans="3:44" ht="18" customHeight="1">
      <c r="C219" s="404" t="s">
        <v>102</v>
      </c>
      <c r="D219" s="405"/>
      <c r="E219" s="405"/>
      <c r="F219" s="405"/>
      <c r="G219" s="405"/>
      <c r="H219" s="405"/>
      <c r="I219" s="405"/>
      <c r="J219" s="405"/>
      <c r="K219" s="405"/>
      <c r="L219" s="405"/>
      <c r="M219" s="405"/>
      <c r="N219" s="405"/>
      <c r="O219" s="405"/>
      <c r="P219" s="405"/>
      <c r="Q219" s="405"/>
      <c r="R219" s="405"/>
      <c r="S219" s="405"/>
      <c r="T219" s="405"/>
      <c r="U219" s="405"/>
      <c r="V219" s="405"/>
      <c r="W219" s="405"/>
      <c r="X219" s="405"/>
      <c r="Y219" s="405"/>
      <c r="Z219" s="405"/>
      <c r="AA219" s="406"/>
      <c r="AB219" s="395"/>
      <c r="AC219" s="396"/>
      <c r="AD219" s="396"/>
      <c r="AE219" s="396"/>
      <c r="AF219" s="396"/>
      <c r="AG219" s="396"/>
      <c r="AH219" s="396"/>
      <c r="AI219" s="397"/>
      <c r="AJ219" s="395"/>
      <c r="AK219" s="396"/>
      <c r="AL219" s="396"/>
      <c r="AM219" s="396"/>
      <c r="AN219" s="396"/>
      <c r="AO219" s="396"/>
      <c r="AP219" s="396"/>
      <c r="AQ219" s="396"/>
      <c r="AR219" s="402"/>
    </row>
    <row r="220" spans="3:44" ht="18" customHeight="1">
      <c r="C220" s="407"/>
      <c r="D220" s="408"/>
      <c r="E220" s="408"/>
      <c r="F220" s="408"/>
      <c r="G220" s="408"/>
      <c r="H220" s="408"/>
      <c r="I220" s="408"/>
      <c r="J220" s="408"/>
      <c r="K220" s="408"/>
      <c r="L220" s="408"/>
      <c r="M220" s="408"/>
      <c r="N220" s="408"/>
      <c r="O220" s="408"/>
      <c r="P220" s="408"/>
      <c r="Q220" s="408"/>
      <c r="R220" s="408"/>
      <c r="S220" s="408"/>
      <c r="T220" s="408"/>
      <c r="U220" s="408"/>
      <c r="V220" s="408"/>
      <c r="W220" s="408"/>
      <c r="X220" s="408"/>
      <c r="Y220" s="408"/>
      <c r="Z220" s="408"/>
      <c r="AA220" s="408"/>
      <c r="AB220" s="398"/>
      <c r="AC220" s="399"/>
      <c r="AD220" s="399"/>
      <c r="AE220" s="399"/>
      <c r="AF220" s="399"/>
      <c r="AG220" s="399"/>
      <c r="AH220" s="399"/>
      <c r="AI220" s="400"/>
      <c r="AJ220" s="398"/>
      <c r="AK220" s="399"/>
      <c r="AL220" s="399"/>
      <c r="AM220" s="399"/>
      <c r="AN220" s="399"/>
      <c r="AO220" s="399"/>
      <c r="AP220" s="399"/>
      <c r="AQ220" s="399"/>
      <c r="AR220" s="403"/>
    </row>
    <row r="222" spans="3:44" ht="18" customHeight="1">
      <c r="C222" s="850" t="s">
        <v>64</v>
      </c>
      <c r="D222" s="851"/>
      <c r="E222" s="851"/>
      <c r="F222" s="851"/>
      <c r="G222" s="851"/>
      <c r="H222" s="851"/>
      <c r="I222" s="851"/>
      <c r="J222" s="851"/>
      <c r="K222" s="851"/>
      <c r="L222" s="851"/>
      <c r="M222" s="851"/>
      <c r="N222" s="851"/>
      <c r="O222" s="851"/>
      <c r="P222" s="851"/>
      <c r="Q222" s="851"/>
      <c r="R222" s="851"/>
      <c r="S222" s="851"/>
      <c r="T222" s="851"/>
      <c r="U222" s="851"/>
      <c r="V222" s="851"/>
      <c r="W222" s="851"/>
      <c r="X222" s="851"/>
      <c r="Y222" s="851"/>
      <c r="Z222" s="851"/>
      <c r="AA222" s="851"/>
      <c r="AB222" s="851"/>
      <c r="AC222" s="851"/>
      <c r="AD222" s="851"/>
      <c r="AE222" s="851"/>
      <c r="AF222" s="851"/>
      <c r="AG222" s="851"/>
      <c r="AH222" s="851"/>
      <c r="AI222" s="851"/>
      <c r="AJ222" s="851"/>
      <c r="AK222" s="851"/>
      <c r="AL222" s="851"/>
      <c r="AM222" s="851"/>
      <c r="AN222" s="851"/>
      <c r="AO222" s="851"/>
      <c r="AP222" s="851"/>
      <c r="AQ222" s="851"/>
      <c r="AR222" s="852"/>
    </row>
    <row r="223" spans="3:44" ht="18" customHeight="1">
      <c r="C223" s="853"/>
      <c r="D223" s="854"/>
      <c r="E223" s="854"/>
      <c r="F223" s="854"/>
      <c r="G223" s="854"/>
      <c r="H223" s="854"/>
      <c r="I223" s="854"/>
      <c r="J223" s="854"/>
      <c r="K223" s="854"/>
      <c r="L223" s="854"/>
      <c r="M223" s="854"/>
      <c r="N223" s="854"/>
      <c r="O223" s="854"/>
      <c r="P223" s="854"/>
      <c r="Q223" s="854"/>
      <c r="R223" s="854"/>
      <c r="S223" s="854"/>
      <c r="T223" s="854"/>
      <c r="U223" s="854"/>
      <c r="V223" s="854"/>
      <c r="W223" s="854"/>
      <c r="X223" s="854"/>
      <c r="Y223" s="854"/>
      <c r="Z223" s="854"/>
      <c r="AA223" s="854"/>
      <c r="AB223" s="854"/>
      <c r="AC223" s="854"/>
      <c r="AD223" s="854"/>
      <c r="AE223" s="854"/>
      <c r="AF223" s="854"/>
      <c r="AG223" s="854"/>
      <c r="AH223" s="854"/>
      <c r="AI223" s="854"/>
      <c r="AJ223" s="854"/>
      <c r="AK223" s="854"/>
      <c r="AL223" s="854"/>
      <c r="AM223" s="854"/>
      <c r="AN223" s="854"/>
      <c r="AO223" s="854"/>
      <c r="AP223" s="854"/>
      <c r="AQ223" s="854"/>
      <c r="AR223" s="855"/>
    </row>
    <row r="224" spans="3:44" ht="18" customHeight="1">
      <c r="C224" s="856" t="s">
        <v>65</v>
      </c>
      <c r="D224" s="857"/>
      <c r="E224" s="857"/>
      <c r="F224" s="857"/>
      <c r="G224" s="860" t="s">
        <v>1626</v>
      </c>
      <c r="H224" s="860"/>
      <c r="I224" s="860"/>
      <c r="J224" s="861"/>
      <c r="K224" s="864" t="s">
        <v>66</v>
      </c>
      <c r="L224" s="865"/>
      <c r="M224" s="865"/>
      <c r="N224" s="865"/>
      <c r="O224" s="526" t="s">
        <v>1608</v>
      </c>
      <c r="P224" s="526"/>
      <c r="Q224" s="526"/>
      <c r="R224" s="526"/>
      <c r="S224" s="526"/>
      <c r="T224" s="526"/>
      <c r="U224" s="526"/>
      <c r="V224" s="526"/>
      <c r="W224" s="526"/>
      <c r="X224" s="526"/>
      <c r="Y224" s="526"/>
      <c r="Z224" s="526"/>
      <c r="AA224" s="526"/>
      <c r="AB224" s="526"/>
      <c r="AC224" s="526"/>
      <c r="AD224" s="526"/>
      <c r="AE224" s="526"/>
      <c r="AF224" s="526"/>
      <c r="AG224" s="526"/>
      <c r="AH224" s="526"/>
      <c r="AI224" s="526"/>
      <c r="AJ224" s="526"/>
      <c r="AK224" s="527"/>
      <c r="AL224" s="864" t="s">
        <v>67</v>
      </c>
      <c r="AM224" s="865"/>
      <c r="AN224" s="865"/>
      <c r="AO224" s="865"/>
      <c r="AP224" s="843" t="s">
        <v>245</v>
      </c>
      <c r="AQ224" s="843"/>
      <c r="AR224" s="844"/>
    </row>
    <row r="225" spans="3:44" ht="18" customHeight="1">
      <c r="C225" s="858"/>
      <c r="D225" s="859"/>
      <c r="E225" s="859"/>
      <c r="F225" s="859"/>
      <c r="G225" s="862"/>
      <c r="H225" s="862"/>
      <c r="I225" s="862"/>
      <c r="J225" s="863"/>
      <c r="K225" s="866"/>
      <c r="L225" s="867"/>
      <c r="M225" s="867"/>
      <c r="N225" s="867"/>
      <c r="O225" s="528"/>
      <c r="P225" s="528"/>
      <c r="Q225" s="528"/>
      <c r="R225" s="528"/>
      <c r="S225" s="528"/>
      <c r="T225" s="528"/>
      <c r="U225" s="528"/>
      <c r="V225" s="528"/>
      <c r="W225" s="528"/>
      <c r="X225" s="528"/>
      <c r="Y225" s="528"/>
      <c r="Z225" s="528"/>
      <c r="AA225" s="528"/>
      <c r="AB225" s="528"/>
      <c r="AC225" s="528"/>
      <c r="AD225" s="528"/>
      <c r="AE225" s="528"/>
      <c r="AF225" s="528"/>
      <c r="AG225" s="528"/>
      <c r="AH225" s="528"/>
      <c r="AI225" s="528"/>
      <c r="AJ225" s="528"/>
      <c r="AK225" s="529"/>
      <c r="AL225" s="866"/>
      <c r="AM225" s="867"/>
      <c r="AN225" s="867"/>
      <c r="AO225" s="867"/>
      <c r="AP225" s="845"/>
      <c r="AQ225" s="845"/>
      <c r="AR225" s="846"/>
    </row>
    <row r="227" spans="3:44" ht="18" customHeight="1">
      <c r="C227" s="794" t="s">
        <v>43</v>
      </c>
      <c r="D227" s="774"/>
      <c r="E227" s="775"/>
      <c r="F227" s="773" t="s">
        <v>68</v>
      </c>
      <c r="G227" s="774"/>
      <c r="H227" s="774"/>
      <c r="I227" s="774"/>
      <c r="J227" s="774"/>
      <c r="K227" s="774"/>
      <c r="L227" s="774"/>
      <c r="M227" s="774"/>
      <c r="N227" s="774"/>
      <c r="O227" s="774"/>
      <c r="P227" s="774"/>
      <c r="Q227" s="774"/>
      <c r="R227" s="774"/>
      <c r="S227" s="774"/>
      <c r="T227" s="774"/>
      <c r="U227" s="775"/>
      <c r="V227" s="773" t="s">
        <v>249</v>
      </c>
      <c r="W227" s="774"/>
      <c r="X227" s="775"/>
      <c r="Y227" s="847" t="s">
        <v>69</v>
      </c>
      <c r="Z227" s="848"/>
      <c r="AA227" s="848"/>
      <c r="AB227" s="848"/>
      <c r="AC227" s="848"/>
      <c r="AD227" s="848"/>
      <c r="AE227" s="848"/>
      <c r="AF227" s="849"/>
      <c r="AG227" s="847" t="s">
        <v>70</v>
      </c>
      <c r="AH227" s="848"/>
      <c r="AI227" s="848"/>
      <c r="AJ227" s="848"/>
      <c r="AK227" s="848"/>
      <c r="AL227" s="848"/>
      <c r="AM227" s="848"/>
      <c r="AN227" s="849"/>
      <c r="AO227" s="773" t="s">
        <v>71</v>
      </c>
      <c r="AP227" s="774"/>
      <c r="AQ227" s="774"/>
      <c r="AR227" s="779"/>
    </row>
    <row r="228" spans="3:44" ht="18" customHeight="1">
      <c r="C228" s="795"/>
      <c r="D228" s="777"/>
      <c r="E228" s="778"/>
      <c r="F228" s="776"/>
      <c r="G228" s="777"/>
      <c r="H228" s="777"/>
      <c r="I228" s="777"/>
      <c r="J228" s="777"/>
      <c r="K228" s="777"/>
      <c r="L228" s="777"/>
      <c r="M228" s="777"/>
      <c r="N228" s="777"/>
      <c r="O228" s="777"/>
      <c r="P228" s="777"/>
      <c r="Q228" s="777"/>
      <c r="R228" s="777"/>
      <c r="S228" s="777"/>
      <c r="T228" s="777"/>
      <c r="U228" s="778"/>
      <c r="V228" s="776"/>
      <c r="W228" s="777"/>
      <c r="X228" s="778"/>
      <c r="Y228" s="834" t="s">
        <v>72</v>
      </c>
      <c r="Z228" s="835"/>
      <c r="AA228" s="835"/>
      <c r="AB228" s="836"/>
      <c r="AC228" s="834" t="s">
        <v>73</v>
      </c>
      <c r="AD228" s="835"/>
      <c r="AE228" s="835"/>
      <c r="AF228" s="836"/>
      <c r="AG228" s="834" t="s">
        <v>72</v>
      </c>
      <c r="AH228" s="835"/>
      <c r="AI228" s="835"/>
      <c r="AJ228" s="836"/>
      <c r="AK228" s="834" t="s">
        <v>73</v>
      </c>
      <c r="AL228" s="835"/>
      <c r="AM228" s="835"/>
      <c r="AN228" s="836"/>
      <c r="AO228" s="776"/>
      <c r="AP228" s="777"/>
      <c r="AQ228" s="777"/>
      <c r="AR228" s="780"/>
    </row>
    <row r="229" spans="3:44" ht="18" customHeight="1">
      <c r="C229" s="781" t="s">
        <v>1609</v>
      </c>
      <c r="D229" s="782"/>
      <c r="E229" s="783"/>
      <c r="F229" s="493" t="s">
        <v>1610</v>
      </c>
      <c r="G229" s="493"/>
      <c r="H229" s="493"/>
      <c r="I229" s="493"/>
      <c r="J229" s="493"/>
      <c r="K229" s="493"/>
      <c r="L229" s="493"/>
      <c r="M229" s="493"/>
      <c r="N229" s="493"/>
      <c r="O229" s="493"/>
      <c r="P229" s="493"/>
      <c r="Q229" s="493"/>
      <c r="R229" s="493"/>
      <c r="S229" s="493"/>
      <c r="T229" s="493"/>
      <c r="U229" s="493"/>
      <c r="V229" s="837">
        <v>1</v>
      </c>
      <c r="W229" s="838"/>
      <c r="X229" s="839"/>
      <c r="Y229" s="837">
        <v>1</v>
      </c>
      <c r="Z229" s="838"/>
      <c r="AA229" s="838"/>
      <c r="AB229" s="839"/>
      <c r="AC229" s="840">
        <v>0</v>
      </c>
      <c r="AD229" s="841"/>
      <c r="AE229" s="841"/>
      <c r="AF229" s="842"/>
      <c r="AG229" s="491">
        <v>17.07</v>
      </c>
      <c r="AH229" s="491"/>
      <c r="AI229" s="491"/>
      <c r="AJ229" s="491"/>
      <c r="AK229" s="491">
        <v>15.13</v>
      </c>
      <c r="AL229" s="491"/>
      <c r="AM229" s="491"/>
      <c r="AN229" s="491"/>
      <c r="AO229" s="491">
        <f>ROUND((Y229*AG229+AC229*AK229)*V229,2)</f>
        <v>17.07</v>
      </c>
      <c r="AP229" s="491"/>
      <c r="AQ229" s="491"/>
      <c r="AR229" s="492"/>
    </row>
    <row r="230" spans="3:44" ht="18" customHeight="1">
      <c r="C230" s="758" t="s">
        <v>1611</v>
      </c>
      <c r="D230" s="759"/>
      <c r="E230" s="760"/>
      <c r="F230" s="493" t="s">
        <v>1612</v>
      </c>
      <c r="G230" s="493"/>
      <c r="H230" s="493"/>
      <c r="I230" s="493"/>
      <c r="J230" s="493"/>
      <c r="K230" s="493"/>
      <c r="L230" s="493"/>
      <c r="M230" s="493"/>
      <c r="N230" s="493"/>
      <c r="O230" s="493"/>
      <c r="P230" s="493"/>
      <c r="Q230" s="493"/>
      <c r="R230" s="493"/>
      <c r="S230" s="493"/>
      <c r="T230" s="493"/>
      <c r="U230" s="493"/>
      <c r="V230" s="466">
        <v>3</v>
      </c>
      <c r="W230" s="467"/>
      <c r="X230" s="468"/>
      <c r="Y230" s="466">
        <v>0.69</v>
      </c>
      <c r="Z230" s="467"/>
      <c r="AA230" s="467"/>
      <c r="AB230" s="468"/>
      <c r="AC230" s="828">
        <v>0.31</v>
      </c>
      <c r="AD230" s="829"/>
      <c r="AE230" s="829"/>
      <c r="AF230" s="830"/>
      <c r="AG230" s="491">
        <v>0.13</v>
      </c>
      <c r="AH230" s="491"/>
      <c r="AI230" s="491"/>
      <c r="AJ230" s="491"/>
      <c r="AK230" s="491">
        <v>0</v>
      </c>
      <c r="AL230" s="491"/>
      <c r="AM230" s="491"/>
      <c r="AN230" s="491"/>
      <c r="AO230" s="491">
        <f>ROUND((Y230*AG230+AC230*AK230)*V230,2)</f>
        <v>0.27</v>
      </c>
      <c r="AP230" s="491"/>
      <c r="AQ230" s="491"/>
      <c r="AR230" s="492"/>
    </row>
    <row r="231" spans="3:44" ht="18" customHeight="1">
      <c r="C231" s="758" t="s">
        <v>1613</v>
      </c>
      <c r="D231" s="759"/>
      <c r="E231" s="760"/>
      <c r="F231" s="493" t="s">
        <v>1614</v>
      </c>
      <c r="G231" s="493"/>
      <c r="H231" s="493"/>
      <c r="I231" s="493"/>
      <c r="J231" s="493"/>
      <c r="K231" s="493"/>
      <c r="L231" s="493"/>
      <c r="M231" s="493"/>
      <c r="N231" s="493"/>
      <c r="O231" s="493"/>
      <c r="P231" s="493"/>
      <c r="Q231" s="493"/>
      <c r="R231" s="493"/>
      <c r="S231" s="493"/>
      <c r="T231" s="493"/>
      <c r="U231" s="493"/>
      <c r="V231" s="466">
        <v>2</v>
      </c>
      <c r="W231" s="467"/>
      <c r="X231" s="468"/>
      <c r="Y231" s="466">
        <v>1</v>
      </c>
      <c r="Z231" s="467"/>
      <c r="AA231" s="467"/>
      <c r="AB231" s="468"/>
      <c r="AC231" s="828">
        <v>0</v>
      </c>
      <c r="AD231" s="829"/>
      <c r="AE231" s="829"/>
      <c r="AF231" s="830"/>
      <c r="AG231" s="491">
        <v>14.46</v>
      </c>
      <c r="AH231" s="491"/>
      <c r="AI231" s="491"/>
      <c r="AJ231" s="491"/>
      <c r="AK231" s="491">
        <v>13.45</v>
      </c>
      <c r="AL231" s="491"/>
      <c r="AM231" s="491"/>
      <c r="AN231" s="491"/>
      <c r="AO231" s="491">
        <f>ROUND((Y231*AG231+AC231*AK231)*V231,2)</f>
        <v>28.92</v>
      </c>
      <c r="AP231" s="491"/>
      <c r="AQ231" s="491"/>
      <c r="AR231" s="492"/>
    </row>
    <row r="232" spans="3:44" ht="18" customHeight="1">
      <c r="C232" s="758" t="s">
        <v>1615</v>
      </c>
      <c r="D232" s="759"/>
      <c r="E232" s="760"/>
      <c r="F232" s="493" t="s">
        <v>1616</v>
      </c>
      <c r="G232" s="493"/>
      <c r="H232" s="493"/>
      <c r="I232" s="493"/>
      <c r="J232" s="493"/>
      <c r="K232" s="493"/>
      <c r="L232" s="493"/>
      <c r="M232" s="493"/>
      <c r="N232" s="493"/>
      <c r="O232" s="493"/>
      <c r="P232" s="493"/>
      <c r="Q232" s="493"/>
      <c r="R232" s="493"/>
      <c r="S232" s="493"/>
      <c r="T232" s="493"/>
      <c r="U232" s="493"/>
      <c r="V232" s="466">
        <v>1</v>
      </c>
      <c r="W232" s="467"/>
      <c r="X232" s="468"/>
      <c r="Y232" s="466">
        <v>1</v>
      </c>
      <c r="Z232" s="467"/>
      <c r="AA232" s="467"/>
      <c r="AB232" s="468"/>
      <c r="AC232" s="828">
        <v>0</v>
      </c>
      <c r="AD232" s="829"/>
      <c r="AE232" s="829"/>
      <c r="AF232" s="830"/>
      <c r="AG232" s="491">
        <v>29.61</v>
      </c>
      <c r="AH232" s="491"/>
      <c r="AI232" s="491"/>
      <c r="AJ232" s="491"/>
      <c r="AK232" s="491">
        <v>15.13</v>
      </c>
      <c r="AL232" s="491"/>
      <c r="AM232" s="491"/>
      <c r="AN232" s="491"/>
      <c r="AO232" s="491">
        <f>ROUND((Y232*AG232+AC232*AK232)*V232,2)</f>
        <v>29.61</v>
      </c>
      <c r="AP232" s="491"/>
      <c r="AQ232" s="491"/>
      <c r="AR232" s="492"/>
    </row>
    <row r="233" spans="3:44" ht="18" customHeight="1">
      <c r="C233" s="758"/>
      <c r="D233" s="759"/>
      <c r="E233" s="760"/>
      <c r="F233" s="796"/>
      <c r="G233" s="797"/>
      <c r="H233" s="797"/>
      <c r="I233" s="797"/>
      <c r="J233" s="797"/>
      <c r="K233" s="797"/>
      <c r="L233" s="797"/>
      <c r="M233" s="797"/>
      <c r="N233" s="797"/>
      <c r="O233" s="797"/>
      <c r="P233" s="797"/>
      <c r="Q233" s="797"/>
      <c r="R233" s="797"/>
      <c r="S233" s="797"/>
      <c r="T233" s="797"/>
      <c r="U233" s="798"/>
      <c r="V233" s="466"/>
      <c r="W233" s="467"/>
      <c r="X233" s="468"/>
      <c r="Y233" s="466"/>
      <c r="Z233" s="467"/>
      <c r="AA233" s="467"/>
      <c r="AB233" s="468"/>
      <c r="AC233" s="828"/>
      <c r="AD233" s="829"/>
      <c r="AE233" s="829"/>
      <c r="AF233" s="830"/>
      <c r="AG233" s="491"/>
      <c r="AH233" s="491"/>
      <c r="AI233" s="491"/>
      <c r="AJ233" s="491"/>
      <c r="AK233" s="491"/>
      <c r="AL233" s="491"/>
      <c r="AM233" s="491"/>
      <c r="AN233" s="491"/>
      <c r="AO233" s="491"/>
      <c r="AP233" s="491"/>
      <c r="AQ233" s="491"/>
      <c r="AR233" s="492"/>
    </row>
    <row r="234" spans="3:44" ht="18" customHeight="1">
      <c r="C234" s="758"/>
      <c r="D234" s="759"/>
      <c r="E234" s="760"/>
      <c r="F234" s="493"/>
      <c r="G234" s="493"/>
      <c r="H234" s="493"/>
      <c r="I234" s="493"/>
      <c r="J234" s="493"/>
      <c r="K234" s="493"/>
      <c r="L234" s="493"/>
      <c r="M234" s="493"/>
      <c r="N234" s="493"/>
      <c r="O234" s="493"/>
      <c r="P234" s="493"/>
      <c r="Q234" s="493"/>
      <c r="R234" s="493"/>
      <c r="S234" s="493"/>
      <c r="T234" s="493"/>
      <c r="U234" s="493"/>
      <c r="V234" s="466"/>
      <c r="W234" s="467"/>
      <c r="X234" s="468"/>
      <c r="Y234" s="466"/>
      <c r="Z234" s="467"/>
      <c r="AA234" s="467"/>
      <c r="AB234" s="468"/>
      <c r="AC234" s="828"/>
      <c r="AD234" s="829"/>
      <c r="AE234" s="829"/>
      <c r="AF234" s="830"/>
      <c r="AG234" s="491"/>
      <c r="AH234" s="491"/>
      <c r="AI234" s="491"/>
      <c r="AJ234" s="491"/>
      <c r="AK234" s="491"/>
      <c r="AL234" s="491"/>
      <c r="AM234" s="491"/>
      <c r="AN234" s="491"/>
      <c r="AO234" s="491"/>
      <c r="AP234" s="491"/>
      <c r="AQ234" s="491"/>
      <c r="AR234" s="492"/>
    </row>
    <row r="235" spans="3:44" ht="18" customHeight="1">
      <c r="C235" s="758"/>
      <c r="D235" s="759"/>
      <c r="E235" s="760"/>
      <c r="F235" s="796"/>
      <c r="G235" s="797"/>
      <c r="H235" s="797"/>
      <c r="I235" s="797"/>
      <c r="J235" s="797"/>
      <c r="K235" s="797"/>
      <c r="L235" s="797"/>
      <c r="M235" s="797"/>
      <c r="N235" s="797"/>
      <c r="O235" s="797"/>
      <c r="P235" s="797"/>
      <c r="Q235" s="797"/>
      <c r="R235" s="797"/>
      <c r="S235" s="797"/>
      <c r="T235" s="797"/>
      <c r="U235" s="798"/>
      <c r="V235" s="466"/>
      <c r="W235" s="467"/>
      <c r="X235" s="468"/>
      <c r="Y235" s="466"/>
      <c r="Z235" s="467"/>
      <c r="AA235" s="467"/>
      <c r="AB235" s="468"/>
      <c r="AC235" s="831"/>
      <c r="AD235" s="832"/>
      <c r="AE235" s="832"/>
      <c r="AF235" s="833"/>
      <c r="AG235" s="491"/>
      <c r="AH235" s="491"/>
      <c r="AI235" s="491"/>
      <c r="AJ235" s="491"/>
      <c r="AK235" s="491"/>
      <c r="AL235" s="491"/>
      <c r="AM235" s="491"/>
      <c r="AN235" s="491"/>
      <c r="AO235" s="491"/>
      <c r="AP235" s="491"/>
      <c r="AQ235" s="491"/>
      <c r="AR235" s="492"/>
    </row>
    <row r="236" spans="3:44" ht="18" customHeight="1">
      <c r="C236" s="758"/>
      <c r="D236" s="759"/>
      <c r="E236" s="760"/>
      <c r="F236" s="796"/>
      <c r="G236" s="797"/>
      <c r="H236" s="797"/>
      <c r="I236" s="797"/>
      <c r="J236" s="797"/>
      <c r="K236" s="797"/>
      <c r="L236" s="797"/>
      <c r="M236" s="797"/>
      <c r="N236" s="797"/>
      <c r="O236" s="797"/>
      <c r="P236" s="797"/>
      <c r="Q236" s="797"/>
      <c r="R236" s="797"/>
      <c r="S236" s="797"/>
      <c r="T236" s="797"/>
      <c r="U236" s="798"/>
      <c r="V236" s="466"/>
      <c r="W236" s="467"/>
      <c r="X236" s="468"/>
      <c r="Y236" s="466"/>
      <c r="Z236" s="467"/>
      <c r="AA236" s="467"/>
      <c r="AB236" s="468"/>
      <c r="AC236" s="828"/>
      <c r="AD236" s="829"/>
      <c r="AE236" s="829"/>
      <c r="AF236" s="830"/>
      <c r="AG236" s="466"/>
      <c r="AH236" s="467"/>
      <c r="AI236" s="467"/>
      <c r="AJ236" s="468"/>
      <c r="AK236" s="466"/>
      <c r="AL236" s="467"/>
      <c r="AM236" s="467"/>
      <c r="AN236" s="468"/>
      <c r="AO236" s="466"/>
      <c r="AP236" s="467"/>
      <c r="AQ236" s="467"/>
      <c r="AR236" s="823"/>
    </row>
    <row r="237" spans="3:44" ht="18" customHeight="1">
      <c r="C237" s="743"/>
      <c r="D237" s="744"/>
      <c r="E237" s="744"/>
      <c r="F237" s="744"/>
      <c r="G237" s="744"/>
      <c r="H237" s="744"/>
      <c r="I237" s="744"/>
      <c r="J237" s="744"/>
      <c r="K237" s="744"/>
      <c r="L237" s="744"/>
      <c r="M237" s="744"/>
      <c r="N237" s="744"/>
      <c r="O237" s="744"/>
      <c r="P237" s="744"/>
      <c r="Q237" s="744"/>
      <c r="R237" s="744"/>
      <c r="S237" s="744"/>
      <c r="T237" s="744"/>
      <c r="U237" s="744"/>
      <c r="V237" s="744"/>
      <c r="W237" s="744"/>
      <c r="X237" s="824"/>
      <c r="Y237" s="825" t="s">
        <v>74</v>
      </c>
      <c r="Z237" s="826"/>
      <c r="AA237" s="826"/>
      <c r="AB237" s="826"/>
      <c r="AC237" s="826"/>
      <c r="AD237" s="826"/>
      <c r="AE237" s="826"/>
      <c r="AF237" s="826"/>
      <c r="AG237" s="826"/>
      <c r="AH237" s="826"/>
      <c r="AI237" s="826"/>
      <c r="AJ237" s="826"/>
      <c r="AK237" s="826"/>
      <c r="AL237" s="826"/>
      <c r="AM237" s="826"/>
      <c r="AN237" s="827"/>
      <c r="AO237" s="477">
        <f>SUM(AO229:AR236)</f>
        <v>75.87</v>
      </c>
      <c r="AP237" s="746"/>
      <c r="AQ237" s="746"/>
      <c r="AR237" s="747"/>
    </row>
    <row r="239" spans="3:44" ht="18" customHeight="1">
      <c r="C239" s="794" t="s">
        <v>43</v>
      </c>
      <c r="D239" s="774"/>
      <c r="E239" s="775"/>
      <c r="F239" s="773" t="s">
        <v>75</v>
      </c>
      <c r="G239" s="774"/>
      <c r="H239" s="774"/>
      <c r="I239" s="774"/>
      <c r="J239" s="774"/>
      <c r="K239" s="774"/>
      <c r="L239" s="774"/>
      <c r="M239" s="774"/>
      <c r="N239" s="774"/>
      <c r="O239" s="774"/>
      <c r="P239" s="774"/>
      <c r="Q239" s="774"/>
      <c r="R239" s="774"/>
      <c r="S239" s="774"/>
      <c r="T239" s="774"/>
      <c r="U239" s="774"/>
      <c r="V239" s="774"/>
      <c r="W239" s="774"/>
      <c r="X239" s="774"/>
      <c r="Y239" s="774"/>
      <c r="Z239" s="774"/>
      <c r="AA239" s="774"/>
      <c r="AB239" s="775"/>
      <c r="AC239" s="773" t="s">
        <v>76</v>
      </c>
      <c r="AD239" s="774"/>
      <c r="AE239" s="774"/>
      <c r="AF239" s="775"/>
      <c r="AG239" s="773" t="s">
        <v>249</v>
      </c>
      <c r="AH239" s="774"/>
      <c r="AI239" s="774"/>
      <c r="AJ239" s="775"/>
      <c r="AK239" s="773" t="s">
        <v>77</v>
      </c>
      <c r="AL239" s="774"/>
      <c r="AM239" s="774"/>
      <c r="AN239" s="775"/>
      <c r="AO239" s="773" t="s">
        <v>71</v>
      </c>
      <c r="AP239" s="774"/>
      <c r="AQ239" s="774"/>
      <c r="AR239" s="779"/>
    </row>
    <row r="240" spans="3:44" ht="18" customHeight="1">
      <c r="C240" s="795"/>
      <c r="D240" s="777"/>
      <c r="E240" s="778"/>
      <c r="F240" s="776"/>
      <c r="G240" s="777"/>
      <c r="H240" s="777"/>
      <c r="I240" s="777"/>
      <c r="J240" s="777"/>
      <c r="K240" s="777"/>
      <c r="L240" s="777"/>
      <c r="M240" s="777"/>
      <c r="N240" s="777"/>
      <c r="O240" s="777"/>
      <c r="P240" s="777"/>
      <c r="Q240" s="777"/>
      <c r="R240" s="777"/>
      <c r="S240" s="777"/>
      <c r="T240" s="777"/>
      <c r="U240" s="777"/>
      <c r="V240" s="777"/>
      <c r="W240" s="777"/>
      <c r="X240" s="777"/>
      <c r="Y240" s="777"/>
      <c r="Z240" s="777"/>
      <c r="AA240" s="777"/>
      <c r="AB240" s="778"/>
      <c r="AC240" s="776"/>
      <c r="AD240" s="777"/>
      <c r="AE240" s="777"/>
      <c r="AF240" s="778"/>
      <c r="AG240" s="776"/>
      <c r="AH240" s="777"/>
      <c r="AI240" s="777"/>
      <c r="AJ240" s="778"/>
      <c r="AK240" s="776"/>
      <c r="AL240" s="777"/>
      <c r="AM240" s="777"/>
      <c r="AN240" s="778"/>
      <c r="AO240" s="776"/>
      <c r="AP240" s="777"/>
      <c r="AQ240" s="777"/>
      <c r="AR240" s="780"/>
    </row>
    <row r="241" spans="3:44" ht="18" customHeight="1">
      <c r="C241" s="781" t="s">
        <v>1383</v>
      </c>
      <c r="D241" s="782"/>
      <c r="E241" s="783"/>
      <c r="F241" s="493" t="s">
        <v>123</v>
      </c>
      <c r="G241" s="493"/>
      <c r="H241" s="493"/>
      <c r="I241" s="493"/>
      <c r="J241" s="493"/>
      <c r="K241" s="493"/>
      <c r="L241" s="493"/>
      <c r="M241" s="493"/>
      <c r="N241" s="493"/>
      <c r="O241" s="493"/>
      <c r="P241" s="493"/>
      <c r="Q241" s="493"/>
      <c r="R241" s="493"/>
      <c r="S241" s="493"/>
      <c r="T241" s="493"/>
      <c r="U241" s="493"/>
      <c r="V241" s="493"/>
      <c r="W241" s="493"/>
      <c r="X241" s="493"/>
      <c r="Y241" s="493"/>
      <c r="Z241" s="493"/>
      <c r="AA241" s="493"/>
      <c r="AB241" s="493"/>
      <c r="AC241" s="770"/>
      <c r="AD241" s="771"/>
      <c r="AE241" s="771"/>
      <c r="AF241" s="790"/>
      <c r="AG241" s="770">
        <v>1</v>
      </c>
      <c r="AH241" s="771"/>
      <c r="AI241" s="771"/>
      <c r="AJ241" s="790"/>
      <c r="AK241" s="449">
        <v>11.15</v>
      </c>
      <c r="AL241" s="449"/>
      <c r="AM241" s="449"/>
      <c r="AN241" s="449"/>
      <c r="AO241" s="491">
        <f>ROUND(AG241*AK241,2)</f>
        <v>11.15</v>
      </c>
      <c r="AP241" s="491"/>
      <c r="AQ241" s="491"/>
      <c r="AR241" s="492"/>
    </row>
    <row r="242" spans="3:44" ht="18" customHeight="1">
      <c r="C242" s="758" t="s">
        <v>1375</v>
      </c>
      <c r="D242" s="759"/>
      <c r="E242" s="760"/>
      <c r="F242" s="796" t="s">
        <v>106</v>
      </c>
      <c r="G242" s="797"/>
      <c r="H242" s="797"/>
      <c r="I242" s="797"/>
      <c r="J242" s="797"/>
      <c r="K242" s="797"/>
      <c r="L242" s="797"/>
      <c r="M242" s="797"/>
      <c r="N242" s="797"/>
      <c r="O242" s="797"/>
      <c r="P242" s="797"/>
      <c r="Q242" s="797"/>
      <c r="R242" s="797"/>
      <c r="S242" s="797"/>
      <c r="T242" s="797"/>
      <c r="U242" s="797"/>
      <c r="V242" s="797"/>
      <c r="W242" s="797"/>
      <c r="X242" s="797"/>
      <c r="Y242" s="797"/>
      <c r="Z242" s="797"/>
      <c r="AA242" s="797"/>
      <c r="AB242" s="798"/>
      <c r="AC242" s="740"/>
      <c r="AD242" s="741"/>
      <c r="AE242" s="741"/>
      <c r="AF242" s="757"/>
      <c r="AG242" s="740">
        <v>14</v>
      </c>
      <c r="AH242" s="741"/>
      <c r="AI242" s="741"/>
      <c r="AJ242" s="757"/>
      <c r="AK242" s="449">
        <v>7.9</v>
      </c>
      <c r="AL242" s="449"/>
      <c r="AM242" s="449"/>
      <c r="AN242" s="449"/>
      <c r="AO242" s="491">
        <f>ROUND(AG242*AK242,2)</f>
        <v>110.6</v>
      </c>
      <c r="AP242" s="491"/>
      <c r="AQ242" s="491"/>
      <c r="AR242" s="492"/>
    </row>
    <row r="243" spans="3:44" ht="18" customHeight="1">
      <c r="C243" s="758"/>
      <c r="D243" s="759"/>
      <c r="E243" s="760"/>
      <c r="F243" s="796"/>
      <c r="G243" s="797"/>
      <c r="H243" s="797"/>
      <c r="I243" s="797"/>
      <c r="J243" s="797"/>
      <c r="K243" s="797"/>
      <c r="L243" s="797"/>
      <c r="M243" s="797"/>
      <c r="N243" s="797"/>
      <c r="O243" s="797"/>
      <c r="P243" s="797"/>
      <c r="Q243" s="797"/>
      <c r="R243" s="797"/>
      <c r="S243" s="797"/>
      <c r="T243" s="797"/>
      <c r="U243" s="797"/>
      <c r="V243" s="797"/>
      <c r="W243" s="797"/>
      <c r="X243" s="797"/>
      <c r="Y243" s="797"/>
      <c r="Z243" s="797"/>
      <c r="AA243" s="797"/>
      <c r="AB243" s="798"/>
      <c r="AC243" s="740"/>
      <c r="AD243" s="741"/>
      <c r="AE243" s="741"/>
      <c r="AF243" s="757"/>
      <c r="AG243" s="740"/>
      <c r="AH243" s="741"/>
      <c r="AI243" s="741"/>
      <c r="AJ243" s="757"/>
      <c r="AK243" s="449"/>
      <c r="AL243" s="449"/>
      <c r="AM243" s="449"/>
      <c r="AN243" s="449"/>
      <c r="AO243" s="491"/>
      <c r="AP243" s="491"/>
      <c r="AQ243" s="491"/>
      <c r="AR243" s="492"/>
    </row>
    <row r="244" spans="3:44" ht="18" customHeight="1">
      <c r="C244" s="758"/>
      <c r="D244" s="759"/>
      <c r="E244" s="760"/>
      <c r="F244" s="796"/>
      <c r="G244" s="797"/>
      <c r="H244" s="797"/>
      <c r="I244" s="797"/>
      <c r="J244" s="797"/>
      <c r="K244" s="797"/>
      <c r="L244" s="797"/>
      <c r="M244" s="797"/>
      <c r="N244" s="797"/>
      <c r="O244" s="797"/>
      <c r="P244" s="797"/>
      <c r="Q244" s="797"/>
      <c r="R244" s="797"/>
      <c r="S244" s="797"/>
      <c r="T244" s="797"/>
      <c r="U244" s="797"/>
      <c r="V244" s="797"/>
      <c r="W244" s="797"/>
      <c r="X244" s="797"/>
      <c r="Y244" s="797"/>
      <c r="Z244" s="797"/>
      <c r="AA244" s="797"/>
      <c r="AB244" s="798"/>
      <c r="AC244" s="740"/>
      <c r="AD244" s="741"/>
      <c r="AE244" s="741"/>
      <c r="AF244" s="757"/>
      <c r="AG244" s="740"/>
      <c r="AH244" s="741"/>
      <c r="AI244" s="741"/>
      <c r="AJ244" s="757"/>
      <c r="AK244" s="449"/>
      <c r="AL244" s="449"/>
      <c r="AM244" s="449"/>
      <c r="AN244" s="449"/>
      <c r="AO244" s="491"/>
      <c r="AP244" s="491"/>
      <c r="AQ244" s="491"/>
      <c r="AR244" s="492"/>
    </row>
    <row r="245" spans="3:44" ht="18" customHeight="1">
      <c r="C245" s="758"/>
      <c r="D245" s="759"/>
      <c r="E245" s="760"/>
      <c r="F245" s="796"/>
      <c r="G245" s="797"/>
      <c r="H245" s="797"/>
      <c r="I245" s="797"/>
      <c r="J245" s="797"/>
      <c r="K245" s="797"/>
      <c r="L245" s="797"/>
      <c r="M245" s="797"/>
      <c r="N245" s="797"/>
      <c r="O245" s="797"/>
      <c r="P245" s="797"/>
      <c r="Q245" s="797"/>
      <c r="R245" s="797"/>
      <c r="S245" s="797"/>
      <c r="T245" s="797"/>
      <c r="U245" s="797"/>
      <c r="V245" s="797"/>
      <c r="W245" s="797"/>
      <c r="X245" s="797"/>
      <c r="Y245" s="797"/>
      <c r="Z245" s="797"/>
      <c r="AA245" s="797"/>
      <c r="AB245" s="798"/>
      <c r="AC245" s="740"/>
      <c r="AD245" s="741"/>
      <c r="AE245" s="741"/>
      <c r="AF245" s="757"/>
      <c r="AG245" s="740"/>
      <c r="AH245" s="741"/>
      <c r="AI245" s="741"/>
      <c r="AJ245" s="757"/>
      <c r="AK245" s="740"/>
      <c r="AL245" s="741"/>
      <c r="AM245" s="741"/>
      <c r="AN245" s="757"/>
      <c r="AO245" s="466"/>
      <c r="AP245" s="467"/>
      <c r="AQ245" s="467"/>
      <c r="AR245" s="823"/>
    </row>
    <row r="246" spans="3:44" ht="18" customHeight="1">
      <c r="C246" s="758"/>
      <c r="D246" s="759"/>
      <c r="E246" s="760"/>
      <c r="F246" s="796"/>
      <c r="G246" s="797"/>
      <c r="H246" s="797"/>
      <c r="I246" s="797"/>
      <c r="J246" s="797"/>
      <c r="K246" s="797"/>
      <c r="L246" s="797"/>
      <c r="M246" s="797"/>
      <c r="N246" s="797"/>
      <c r="O246" s="797"/>
      <c r="P246" s="797"/>
      <c r="Q246" s="797"/>
      <c r="R246" s="797"/>
      <c r="S246" s="797"/>
      <c r="T246" s="797"/>
      <c r="U246" s="797"/>
      <c r="V246" s="797"/>
      <c r="W246" s="797"/>
      <c r="X246" s="797"/>
      <c r="Y246" s="797"/>
      <c r="Z246" s="797"/>
      <c r="AA246" s="797"/>
      <c r="AB246" s="798"/>
      <c r="AC246" s="740"/>
      <c r="AD246" s="741"/>
      <c r="AE246" s="741"/>
      <c r="AF246" s="757"/>
      <c r="AG246" s="740"/>
      <c r="AH246" s="741"/>
      <c r="AI246" s="741"/>
      <c r="AJ246" s="757"/>
      <c r="AK246" s="740"/>
      <c r="AL246" s="741"/>
      <c r="AM246" s="741"/>
      <c r="AN246" s="757"/>
      <c r="AO246" s="466"/>
      <c r="AP246" s="467"/>
      <c r="AQ246" s="467"/>
      <c r="AR246" s="823"/>
    </row>
    <row r="247" spans="3:44" ht="18" customHeight="1">
      <c r="C247" s="758"/>
      <c r="D247" s="759"/>
      <c r="E247" s="760"/>
      <c r="F247" s="796"/>
      <c r="G247" s="797"/>
      <c r="H247" s="797"/>
      <c r="I247" s="797"/>
      <c r="J247" s="797"/>
      <c r="K247" s="797"/>
      <c r="L247" s="797"/>
      <c r="M247" s="797"/>
      <c r="N247" s="797"/>
      <c r="O247" s="797"/>
      <c r="P247" s="797"/>
      <c r="Q247" s="797"/>
      <c r="R247" s="797"/>
      <c r="S247" s="797"/>
      <c r="T247" s="797"/>
      <c r="U247" s="797"/>
      <c r="V247" s="797"/>
      <c r="W247" s="797"/>
      <c r="X247" s="797"/>
      <c r="Y247" s="797"/>
      <c r="Z247" s="797"/>
      <c r="AA247" s="797"/>
      <c r="AB247" s="798"/>
      <c r="AC247" s="740"/>
      <c r="AD247" s="741"/>
      <c r="AE247" s="741"/>
      <c r="AF247" s="757"/>
      <c r="AG247" s="740"/>
      <c r="AH247" s="741"/>
      <c r="AI247" s="741"/>
      <c r="AJ247" s="757"/>
      <c r="AK247" s="740"/>
      <c r="AL247" s="741"/>
      <c r="AM247" s="741"/>
      <c r="AN247" s="757"/>
      <c r="AO247" s="466"/>
      <c r="AP247" s="467"/>
      <c r="AQ247" s="467"/>
      <c r="AR247" s="823"/>
    </row>
    <row r="248" spans="3:44" ht="18" customHeight="1">
      <c r="C248" s="758"/>
      <c r="D248" s="759"/>
      <c r="E248" s="760"/>
      <c r="F248" s="796"/>
      <c r="G248" s="797"/>
      <c r="H248" s="797"/>
      <c r="I248" s="797"/>
      <c r="J248" s="797"/>
      <c r="K248" s="797"/>
      <c r="L248" s="797"/>
      <c r="M248" s="797"/>
      <c r="N248" s="797"/>
      <c r="O248" s="797"/>
      <c r="P248" s="797"/>
      <c r="Q248" s="797"/>
      <c r="R248" s="797"/>
      <c r="S248" s="797"/>
      <c r="T248" s="797"/>
      <c r="U248" s="797"/>
      <c r="V248" s="797"/>
      <c r="W248" s="797"/>
      <c r="X248" s="797"/>
      <c r="Y248" s="797"/>
      <c r="Z248" s="797"/>
      <c r="AA248" s="797"/>
      <c r="AB248" s="798"/>
      <c r="AC248" s="740"/>
      <c r="AD248" s="741"/>
      <c r="AE248" s="741"/>
      <c r="AF248" s="757"/>
      <c r="AG248" s="740"/>
      <c r="AH248" s="741"/>
      <c r="AI248" s="741"/>
      <c r="AJ248" s="757"/>
      <c r="AK248" s="740"/>
      <c r="AL248" s="741"/>
      <c r="AM248" s="741"/>
      <c r="AN248" s="757"/>
      <c r="AO248" s="466"/>
      <c r="AP248" s="467"/>
      <c r="AQ248" s="467"/>
      <c r="AR248" s="823"/>
    </row>
    <row r="249" spans="3:44" ht="18" customHeight="1">
      <c r="C249" s="814"/>
      <c r="D249" s="815"/>
      <c r="E249" s="815"/>
      <c r="F249" s="815"/>
      <c r="G249" s="815"/>
      <c r="H249" s="815"/>
      <c r="I249" s="815"/>
      <c r="J249" s="815"/>
      <c r="K249" s="815"/>
      <c r="L249" s="815"/>
      <c r="M249" s="815"/>
      <c r="N249" s="815"/>
      <c r="O249" s="815"/>
      <c r="P249" s="815"/>
      <c r="Q249" s="815"/>
      <c r="R249" s="815"/>
      <c r="S249" s="815"/>
      <c r="T249" s="815"/>
      <c r="U249" s="815"/>
      <c r="V249" s="815"/>
      <c r="W249" s="815"/>
      <c r="X249" s="815"/>
      <c r="Y249" s="816" t="s">
        <v>78</v>
      </c>
      <c r="Z249" s="816"/>
      <c r="AA249" s="816"/>
      <c r="AB249" s="816"/>
      <c r="AC249" s="816"/>
      <c r="AD249" s="816"/>
      <c r="AE249" s="816"/>
      <c r="AF249" s="483"/>
      <c r="AG249" s="817" t="s">
        <v>267</v>
      </c>
      <c r="AH249" s="818"/>
      <c r="AI249" s="818"/>
      <c r="AJ249" s="819"/>
      <c r="AK249" s="466">
        <f>SUM(AO241:AR248)</f>
        <v>121.75</v>
      </c>
      <c r="AL249" s="467"/>
      <c r="AM249" s="467"/>
      <c r="AN249" s="468"/>
      <c r="AO249" s="820">
        <f>ROUND(AG249*AK249,2)</f>
        <v>24.97</v>
      </c>
      <c r="AP249" s="821"/>
      <c r="AQ249" s="821"/>
      <c r="AR249" s="822"/>
    </row>
    <row r="250" spans="3:44" ht="18" customHeight="1">
      <c r="C250" s="743"/>
      <c r="D250" s="744"/>
      <c r="E250" s="744"/>
      <c r="F250" s="744"/>
      <c r="G250" s="744"/>
      <c r="H250" s="744"/>
      <c r="I250" s="744"/>
      <c r="J250" s="744"/>
      <c r="K250" s="744"/>
      <c r="L250" s="744"/>
      <c r="M250" s="744"/>
      <c r="N250" s="744"/>
      <c r="O250" s="744"/>
      <c r="P250" s="744"/>
      <c r="Q250" s="744"/>
      <c r="R250" s="744"/>
      <c r="S250" s="744"/>
      <c r="T250" s="744"/>
      <c r="U250" s="744"/>
      <c r="V250" s="744"/>
      <c r="W250" s="744"/>
      <c r="X250" s="744"/>
      <c r="Y250" s="745" t="s">
        <v>79</v>
      </c>
      <c r="Z250" s="745"/>
      <c r="AA250" s="745"/>
      <c r="AB250" s="745"/>
      <c r="AC250" s="745"/>
      <c r="AD250" s="745"/>
      <c r="AE250" s="745"/>
      <c r="AF250" s="745"/>
      <c r="AG250" s="745"/>
      <c r="AH250" s="745"/>
      <c r="AI250" s="745"/>
      <c r="AJ250" s="745"/>
      <c r="AK250" s="745"/>
      <c r="AL250" s="745"/>
      <c r="AM250" s="745"/>
      <c r="AN250" s="430"/>
      <c r="AO250" s="477">
        <f>SUM(AO241:AR249)</f>
        <v>146.72</v>
      </c>
      <c r="AP250" s="746"/>
      <c r="AQ250" s="746"/>
      <c r="AR250" s="747"/>
    </row>
    <row r="252" spans="3:44" ht="18" customHeight="1">
      <c r="C252" s="802"/>
      <c r="D252" s="803"/>
      <c r="E252" s="803"/>
      <c r="F252" s="803"/>
      <c r="G252" s="803"/>
      <c r="H252" s="803"/>
      <c r="I252" s="803"/>
      <c r="J252" s="803"/>
      <c r="K252" s="803"/>
      <c r="L252" s="803"/>
      <c r="M252" s="803"/>
      <c r="N252" s="803"/>
      <c r="O252" s="803"/>
      <c r="P252" s="803"/>
      <c r="Q252" s="803"/>
      <c r="R252" s="803"/>
      <c r="S252" s="803"/>
      <c r="T252" s="803"/>
      <c r="U252" s="803"/>
      <c r="V252" s="803"/>
      <c r="W252" s="803"/>
      <c r="X252" s="803"/>
      <c r="Y252" s="804" t="s">
        <v>80</v>
      </c>
      <c r="Z252" s="805"/>
      <c r="AA252" s="805"/>
      <c r="AB252" s="805"/>
      <c r="AC252" s="805"/>
      <c r="AD252" s="805"/>
      <c r="AE252" s="805"/>
      <c r="AF252" s="805"/>
      <c r="AG252" s="805"/>
      <c r="AH252" s="805"/>
      <c r="AI252" s="805"/>
      <c r="AJ252" s="805"/>
      <c r="AK252" s="805"/>
      <c r="AL252" s="805"/>
      <c r="AM252" s="805"/>
      <c r="AN252" s="806"/>
      <c r="AO252" s="807">
        <f>AO237+AO250</f>
        <v>222.59</v>
      </c>
      <c r="AP252" s="808"/>
      <c r="AQ252" s="808"/>
      <c r="AR252" s="809"/>
    </row>
    <row r="253" spans="3:44" ht="18" customHeight="1">
      <c r="C253" s="810" t="s">
        <v>81</v>
      </c>
      <c r="D253" s="745"/>
      <c r="E253" s="745"/>
      <c r="F253" s="745"/>
      <c r="G253" s="745"/>
      <c r="H253" s="745"/>
      <c r="I253" s="745"/>
      <c r="J253" s="745"/>
      <c r="K253" s="745"/>
      <c r="L253" s="745"/>
      <c r="M253" s="745"/>
      <c r="N253" s="745"/>
      <c r="O253" s="745"/>
      <c r="P253" s="430"/>
      <c r="Q253" s="477">
        <v>2.5</v>
      </c>
      <c r="R253" s="746"/>
      <c r="S253" s="746"/>
      <c r="T253" s="746"/>
      <c r="U253" s="746"/>
      <c r="V253" s="745" t="s">
        <v>245</v>
      </c>
      <c r="W253" s="745"/>
      <c r="X253" s="430"/>
      <c r="Y253" s="804" t="s">
        <v>82</v>
      </c>
      <c r="Z253" s="805"/>
      <c r="AA253" s="805"/>
      <c r="AB253" s="805"/>
      <c r="AC253" s="805"/>
      <c r="AD253" s="805"/>
      <c r="AE253" s="805"/>
      <c r="AF253" s="805"/>
      <c r="AG253" s="805"/>
      <c r="AH253" s="805"/>
      <c r="AI253" s="805"/>
      <c r="AJ253" s="805"/>
      <c r="AK253" s="805"/>
      <c r="AL253" s="805"/>
      <c r="AM253" s="805"/>
      <c r="AN253" s="806"/>
      <c r="AO253" s="811">
        <f>ROUND(AO252/Q253,2)</f>
        <v>89.04</v>
      </c>
      <c r="AP253" s="812"/>
      <c r="AQ253" s="812"/>
      <c r="AR253" s="813"/>
    </row>
    <row r="255" spans="3:44" ht="18" customHeight="1">
      <c r="C255" s="794" t="s">
        <v>43</v>
      </c>
      <c r="D255" s="774"/>
      <c r="E255" s="775"/>
      <c r="F255" s="773" t="s">
        <v>83</v>
      </c>
      <c r="G255" s="774"/>
      <c r="H255" s="774"/>
      <c r="I255" s="774"/>
      <c r="J255" s="774"/>
      <c r="K255" s="774"/>
      <c r="L255" s="774"/>
      <c r="M255" s="774"/>
      <c r="N255" s="774"/>
      <c r="O255" s="774"/>
      <c r="P255" s="774"/>
      <c r="Q255" s="774"/>
      <c r="R255" s="774"/>
      <c r="S255" s="774"/>
      <c r="T255" s="774"/>
      <c r="U255" s="774"/>
      <c r="V255" s="774"/>
      <c r="W255" s="774"/>
      <c r="X255" s="774"/>
      <c r="Y255" s="774"/>
      <c r="Z255" s="774"/>
      <c r="AA255" s="774"/>
      <c r="AB255" s="775"/>
      <c r="AC255" s="773" t="s">
        <v>84</v>
      </c>
      <c r="AD255" s="774"/>
      <c r="AE255" s="774"/>
      <c r="AF255" s="775"/>
      <c r="AG255" s="773" t="s">
        <v>85</v>
      </c>
      <c r="AH255" s="774"/>
      <c r="AI255" s="774"/>
      <c r="AJ255" s="775"/>
      <c r="AK255" s="773" t="s">
        <v>86</v>
      </c>
      <c r="AL255" s="774"/>
      <c r="AM255" s="774"/>
      <c r="AN255" s="775"/>
      <c r="AO255" s="773" t="s">
        <v>87</v>
      </c>
      <c r="AP255" s="774"/>
      <c r="AQ255" s="774"/>
      <c r="AR255" s="779"/>
    </row>
    <row r="256" spans="3:44" ht="18" customHeight="1">
      <c r="C256" s="795"/>
      <c r="D256" s="777"/>
      <c r="E256" s="778"/>
      <c r="F256" s="776"/>
      <c r="G256" s="777"/>
      <c r="H256" s="777"/>
      <c r="I256" s="777"/>
      <c r="J256" s="777"/>
      <c r="K256" s="777"/>
      <c r="L256" s="777"/>
      <c r="M256" s="777"/>
      <c r="N256" s="777"/>
      <c r="O256" s="777"/>
      <c r="P256" s="777"/>
      <c r="Q256" s="777"/>
      <c r="R256" s="777"/>
      <c r="S256" s="777"/>
      <c r="T256" s="777"/>
      <c r="U256" s="777"/>
      <c r="V256" s="777"/>
      <c r="W256" s="777"/>
      <c r="X256" s="777"/>
      <c r="Y256" s="777"/>
      <c r="Z256" s="777"/>
      <c r="AA256" s="777"/>
      <c r="AB256" s="778"/>
      <c r="AC256" s="776"/>
      <c r="AD256" s="777"/>
      <c r="AE256" s="777"/>
      <c r="AF256" s="778"/>
      <c r="AG256" s="776"/>
      <c r="AH256" s="777"/>
      <c r="AI256" s="777"/>
      <c r="AJ256" s="778"/>
      <c r="AK256" s="776"/>
      <c r="AL256" s="777"/>
      <c r="AM256" s="777"/>
      <c r="AN256" s="778"/>
      <c r="AO256" s="776"/>
      <c r="AP256" s="777"/>
      <c r="AQ256" s="777"/>
      <c r="AR256" s="780"/>
    </row>
    <row r="257" spans="3:44" ht="18" customHeight="1">
      <c r="C257" s="758" t="s">
        <v>1605</v>
      </c>
      <c r="D257" s="759"/>
      <c r="E257" s="760"/>
      <c r="F257" s="796" t="s">
        <v>1606</v>
      </c>
      <c r="G257" s="797"/>
      <c r="H257" s="797"/>
      <c r="I257" s="797"/>
      <c r="J257" s="797"/>
      <c r="K257" s="797"/>
      <c r="L257" s="797"/>
      <c r="M257" s="797"/>
      <c r="N257" s="797"/>
      <c r="O257" s="797"/>
      <c r="P257" s="797"/>
      <c r="Q257" s="797"/>
      <c r="R257" s="797"/>
      <c r="S257" s="797"/>
      <c r="T257" s="797"/>
      <c r="U257" s="797"/>
      <c r="V257" s="797"/>
      <c r="W257" s="797"/>
      <c r="X257" s="797"/>
      <c r="Y257" s="797"/>
      <c r="Z257" s="797"/>
      <c r="AA257" s="797"/>
      <c r="AB257" s="798"/>
      <c r="AC257" s="799" t="s">
        <v>186</v>
      </c>
      <c r="AD257" s="800"/>
      <c r="AE257" s="800"/>
      <c r="AF257" s="801"/>
      <c r="AG257" s="466">
        <v>55</v>
      </c>
      <c r="AH257" s="467"/>
      <c r="AI257" s="467"/>
      <c r="AJ257" s="468"/>
      <c r="AK257" s="737">
        <v>0.96</v>
      </c>
      <c r="AL257" s="738"/>
      <c r="AM257" s="738"/>
      <c r="AN257" s="739"/>
      <c r="AO257" s="491">
        <f>ROUND(AG257*AK257,2)</f>
        <v>52.8</v>
      </c>
      <c r="AP257" s="491"/>
      <c r="AQ257" s="491"/>
      <c r="AR257" s="492"/>
    </row>
    <row r="258" spans="3:44" ht="18" customHeight="1">
      <c r="C258" s="758" t="s">
        <v>1605</v>
      </c>
      <c r="D258" s="759"/>
      <c r="E258" s="760"/>
      <c r="F258" s="796" t="s">
        <v>1607</v>
      </c>
      <c r="G258" s="797"/>
      <c r="H258" s="797"/>
      <c r="I258" s="797"/>
      <c r="J258" s="797"/>
      <c r="K258" s="797"/>
      <c r="L258" s="797"/>
      <c r="M258" s="797"/>
      <c r="N258" s="797"/>
      <c r="O258" s="797"/>
      <c r="P258" s="797"/>
      <c r="Q258" s="797"/>
      <c r="R258" s="797"/>
      <c r="S258" s="797"/>
      <c r="T258" s="797"/>
      <c r="U258" s="797"/>
      <c r="V258" s="797"/>
      <c r="W258" s="797"/>
      <c r="X258" s="797"/>
      <c r="Y258" s="797"/>
      <c r="Z258" s="797"/>
      <c r="AA258" s="797"/>
      <c r="AB258" s="798"/>
      <c r="AC258" s="799" t="s">
        <v>186</v>
      </c>
      <c r="AD258" s="800"/>
      <c r="AE258" s="800"/>
      <c r="AF258" s="801"/>
      <c r="AG258" s="466">
        <v>40</v>
      </c>
      <c r="AH258" s="467"/>
      <c r="AI258" s="467"/>
      <c r="AJ258" s="468"/>
      <c r="AK258" s="737">
        <v>0.84</v>
      </c>
      <c r="AL258" s="738"/>
      <c r="AM258" s="738"/>
      <c r="AN258" s="739"/>
      <c r="AO258" s="491">
        <f>ROUND(AG258*AK258,2)</f>
        <v>33.6</v>
      </c>
      <c r="AP258" s="491"/>
      <c r="AQ258" s="491"/>
      <c r="AR258" s="492"/>
    </row>
    <row r="259" spans="3:44" ht="18" customHeight="1">
      <c r="C259" s="758" t="s">
        <v>1395</v>
      </c>
      <c r="D259" s="759"/>
      <c r="E259" s="760"/>
      <c r="F259" s="796" t="s">
        <v>410</v>
      </c>
      <c r="G259" s="797"/>
      <c r="H259" s="797"/>
      <c r="I259" s="797"/>
      <c r="J259" s="797"/>
      <c r="K259" s="797"/>
      <c r="L259" s="797"/>
      <c r="M259" s="797"/>
      <c r="N259" s="797"/>
      <c r="O259" s="797"/>
      <c r="P259" s="797"/>
      <c r="Q259" s="797"/>
      <c r="R259" s="797"/>
      <c r="S259" s="797"/>
      <c r="T259" s="797"/>
      <c r="U259" s="797"/>
      <c r="V259" s="797"/>
      <c r="W259" s="797"/>
      <c r="X259" s="797"/>
      <c r="Y259" s="797"/>
      <c r="Z259" s="797"/>
      <c r="AA259" s="797"/>
      <c r="AB259" s="798"/>
      <c r="AC259" s="799" t="s">
        <v>246</v>
      </c>
      <c r="AD259" s="800"/>
      <c r="AE259" s="800"/>
      <c r="AF259" s="801"/>
      <c r="AG259" s="466">
        <f>VLOOKUP(C259,[4]MATERIAL!A$1:D$65536,4,FALSE)</f>
        <v>0.34399999999999997</v>
      </c>
      <c r="AH259" s="467"/>
      <c r="AI259" s="467"/>
      <c r="AJ259" s="468"/>
      <c r="AK259" s="737">
        <v>230</v>
      </c>
      <c r="AL259" s="738"/>
      <c r="AM259" s="738"/>
      <c r="AN259" s="739"/>
      <c r="AO259" s="491">
        <f>ROUND(AG259*AK259,2)</f>
        <v>79.12</v>
      </c>
      <c r="AP259" s="491"/>
      <c r="AQ259" s="491"/>
      <c r="AR259" s="492"/>
    </row>
    <row r="260" spans="3:44" ht="18" customHeight="1">
      <c r="C260" s="758"/>
      <c r="D260" s="759"/>
      <c r="E260" s="760"/>
      <c r="F260" s="796"/>
      <c r="G260" s="797"/>
      <c r="H260" s="797"/>
      <c r="I260" s="797"/>
      <c r="J260" s="797"/>
      <c r="K260" s="797"/>
      <c r="L260" s="797"/>
      <c r="M260" s="797"/>
      <c r="N260" s="797"/>
      <c r="O260" s="797"/>
      <c r="P260" s="797"/>
      <c r="Q260" s="797"/>
      <c r="R260" s="797"/>
      <c r="S260" s="797"/>
      <c r="T260" s="797"/>
      <c r="U260" s="797"/>
      <c r="V260" s="797"/>
      <c r="W260" s="797"/>
      <c r="X260" s="797"/>
      <c r="Y260" s="797"/>
      <c r="Z260" s="797"/>
      <c r="AA260" s="797"/>
      <c r="AB260" s="798"/>
      <c r="AC260" s="799"/>
      <c r="AD260" s="800"/>
      <c r="AE260" s="800"/>
      <c r="AF260" s="801"/>
      <c r="AG260" s="466"/>
      <c r="AH260" s="467"/>
      <c r="AI260" s="467"/>
      <c r="AJ260" s="468"/>
      <c r="AK260" s="737"/>
      <c r="AL260" s="738"/>
      <c r="AM260" s="738"/>
      <c r="AN260" s="739"/>
      <c r="AO260" s="491"/>
      <c r="AP260" s="491"/>
      <c r="AQ260" s="491"/>
      <c r="AR260" s="492"/>
    </row>
    <row r="261" spans="3:44" ht="18" customHeight="1">
      <c r="C261" s="758"/>
      <c r="D261" s="759"/>
      <c r="E261" s="760"/>
      <c r="F261" s="796"/>
      <c r="G261" s="797"/>
      <c r="H261" s="797"/>
      <c r="I261" s="797"/>
      <c r="J261" s="797"/>
      <c r="K261" s="797"/>
      <c r="L261" s="797"/>
      <c r="M261" s="797"/>
      <c r="N261" s="797"/>
      <c r="O261" s="797"/>
      <c r="P261" s="797"/>
      <c r="Q261" s="797"/>
      <c r="R261" s="797"/>
      <c r="S261" s="797"/>
      <c r="T261" s="797"/>
      <c r="U261" s="797"/>
      <c r="V261" s="797"/>
      <c r="W261" s="797"/>
      <c r="X261" s="797"/>
      <c r="Y261" s="797"/>
      <c r="Z261" s="797"/>
      <c r="AA261" s="797"/>
      <c r="AB261" s="798"/>
      <c r="AC261" s="799"/>
      <c r="AD261" s="800"/>
      <c r="AE261" s="800"/>
      <c r="AF261" s="801"/>
      <c r="AG261" s="466"/>
      <c r="AH261" s="467"/>
      <c r="AI261" s="467"/>
      <c r="AJ261" s="468"/>
      <c r="AK261" s="737"/>
      <c r="AL261" s="738"/>
      <c r="AM261" s="738"/>
      <c r="AN261" s="739"/>
      <c r="AO261" s="491"/>
      <c r="AP261" s="491"/>
      <c r="AQ261" s="491"/>
      <c r="AR261" s="492"/>
    </row>
    <row r="262" spans="3:44" ht="18" customHeight="1">
      <c r="C262" s="758"/>
      <c r="D262" s="759"/>
      <c r="E262" s="760"/>
      <c r="F262" s="796"/>
      <c r="G262" s="797"/>
      <c r="H262" s="797"/>
      <c r="I262" s="797"/>
      <c r="J262" s="797"/>
      <c r="K262" s="797"/>
      <c r="L262" s="797"/>
      <c r="M262" s="797"/>
      <c r="N262" s="797"/>
      <c r="O262" s="797"/>
      <c r="P262" s="797"/>
      <c r="Q262" s="797"/>
      <c r="R262" s="797"/>
      <c r="S262" s="797"/>
      <c r="T262" s="797"/>
      <c r="U262" s="797"/>
      <c r="V262" s="797"/>
      <c r="W262" s="797"/>
      <c r="X262" s="797"/>
      <c r="Y262" s="797"/>
      <c r="Z262" s="797"/>
      <c r="AA262" s="797"/>
      <c r="AB262" s="798"/>
      <c r="AC262" s="799"/>
      <c r="AD262" s="800"/>
      <c r="AE262" s="800"/>
      <c r="AF262" s="801"/>
      <c r="AG262" s="466"/>
      <c r="AH262" s="467"/>
      <c r="AI262" s="467"/>
      <c r="AJ262" s="468"/>
      <c r="AK262" s="737"/>
      <c r="AL262" s="738"/>
      <c r="AM262" s="738"/>
      <c r="AN262" s="739"/>
      <c r="AO262" s="491"/>
      <c r="AP262" s="491"/>
      <c r="AQ262" s="491"/>
      <c r="AR262" s="492"/>
    </row>
    <row r="263" spans="3:44" ht="18" customHeight="1">
      <c r="C263" s="758"/>
      <c r="D263" s="759"/>
      <c r="E263" s="760"/>
      <c r="F263" s="796"/>
      <c r="G263" s="797"/>
      <c r="H263" s="797"/>
      <c r="I263" s="797"/>
      <c r="J263" s="797"/>
      <c r="K263" s="797"/>
      <c r="L263" s="797"/>
      <c r="M263" s="797"/>
      <c r="N263" s="797"/>
      <c r="O263" s="797"/>
      <c r="P263" s="797"/>
      <c r="Q263" s="797"/>
      <c r="R263" s="797"/>
      <c r="S263" s="797"/>
      <c r="T263" s="797"/>
      <c r="U263" s="797"/>
      <c r="V263" s="797"/>
      <c r="W263" s="797"/>
      <c r="X263" s="797"/>
      <c r="Y263" s="797"/>
      <c r="Z263" s="797"/>
      <c r="AA263" s="797"/>
      <c r="AB263" s="798"/>
      <c r="AC263" s="799"/>
      <c r="AD263" s="800"/>
      <c r="AE263" s="800"/>
      <c r="AF263" s="801"/>
      <c r="AG263" s="466"/>
      <c r="AH263" s="467"/>
      <c r="AI263" s="467"/>
      <c r="AJ263" s="468"/>
      <c r="AK263" s="737"/>
      <c r="AL263" s="738"/>
      <c r="AM263" s="738"/>
      <c r="AN263" s="739"/>
      <c r="AO263" s="491"/>
      <c r="AP263" s="491"/>
      <c r="AQ263" s="491"/>
      <c r="AR263" s="492"/>
    </row>
    <row r="264" spans="3:44" ht="18" customHeight="1">
      <c r="C264" s="758"/>
      <c r="D264" s="759"/>
      <c r="E264" s="760"/>
      <c r="F264" s="796"/>
      <c r="G264" s="797"/>
      <c r="H264" s="797"/>
      <c r="I264" s="797"/>
      <c r="J264" s="797"/>
      <c r="K264" s="797"/>
      <c r="L264" s="797"/>
      <c r="M264" s="797"/>
      <c r="N264" s="797"/>
      <c r="O264" s="797"/>
      <c r="P264" s="797"/>
      <c r="Q264" s="797"/>
      <c r="R264" s="797"/>
      <c r="S264" s="797"/>
      <c r="T264" s="797"/>
      <c r="U264" s="797"/>
      <c r="V264" s="797"/>
      <c r="W264" s="797"/>
      <c r="X264" s="797"/>
      <c r="Y264" s="797"/>
      <c r="Z264" s="797"/>
      <c r="AA264" s="797"/>
      <c r="AB264" s="798"/>
      <c r="AC264" s="799"/>
      <c r="AD264" s="800"/>
      <c r="AE264" s="800"/>
      <c r="AF264" s="801"/>
      <c r="AG264" s="466"/>
      <c r="AH264" s="467"/>
      <c r="AI264" s="467"/>
      <c r="AJ264" s="468"/>
      <c r="AK264" s="737"/>
      <c r="AL264" s="738"/>
      <c r="AM264" s="738"/>
      <c r="AN264" s="739"/>
      <c r="AO264" s="491"/>
      <c r="AP264" s="491"/>
      <c r="AQ264" s="491"/>
      <c r="AR264" s="492"/>
    </row>
    <row r="265" spans="3:44" ht="18" customHeight="1">
      <c r="C265" s="758"/>
      <c r="D265" s="759"/>
      <c r="E265" s="760"/>
      <c r="F265" s="796"/>
      <c r="G265" s="797"/>
      <c r="H265" s="797"/>
      <c r="I265" s="797"/>
      <c r="J265" s="797"/>
      <c r="K265" s="797"/>
      <c r="L265" s="797"/>
      <c r="M265" s="797"/>
      <c r="N265" s="797"/>
      <c r="O265" s="797"/>
      <c r="P265" s="797"/>
      <c r="Q265" s="797"/>
      <c r="R265" s="797"/>
      <c r="S265" s="797"/>
      <c r="T265" s="797"/>
      <c r="U265" s="797"/>
      <c r="V265" s="797"/>
      <c r="W265" s="797"/>
      <c r="X265" s="797"/>
      <c r="Y265" s="797"/>
      <c r="Z265" s="797"/>
      <c r="AA265" s="797"/>
      <c r="AB265" s="798"/>
      <c r="AC265" s="799"/>
      <c r="AD265" s="800"/>
      <c r="AE265" s="800"/>
      <c r="AF265" s="801"/>
      <c r="AG265" s="466"/>
      <c r="AH265" s="467"/>
      <c r="AI265" s="467"/>
      <c r="AJ265" s="468"/>
      <c r="AK265" s="737"/>
      <c r="AL265" s="738"/>
      <c r="AM265" s="738"/>
      <c r="AN265" s="739"/>
      <c r="AO265" s="740"/>
      <c r="AP265" s="741"/>
      <c r="AQ265" s="741"/>
      <c r="AR265" s="742"/>
    </row>
    <row r="266" spans="3:44" ht="18" customHeight="1">
      <c r="C266" s="743"/>
      <c r="D266" s="744"/>
      <c r="E266" s="744"/>
      <c r="F266" s="744"/>
      <c r="G266" s="744"/>
      <c r="H266" s="744"/>
      <c r="I266" s="744"/>
      <c r="J266" s="744"/>
      <c r="K266" s="744"/>
      <c r="L266" s="744"/>
      <c r="M266" s="744"/>
      <c r="N266" s="744"/>
      <c r="O266" s="744"/>
      <c r="P266" s="744"/>
      <c r="Q266" s="744"/>
      <c r="R266" s="744"/>
      <c r="S266" s="744"/>
      <c r="T266" s="744"/>
      <c r="U266" s="744"/>
      <c r="V266" s="744"/>
      <c r="W266" s="744"/>
      <c r="X266" s="744"/>
      <c r="Y266" s="745" t="s">
        <v>88</v>
      </c>
      <c r="Z266" s="745"/>
      <c r="AA266" s="745"/>
      <c r="AB266" s="745"/>
      <c r="AC266" s="745"/>
      <c r="AD266" s="745"/>
      <c r="AE266" s="745"/>
      <c r="AF266" s="745"/>
      <c r="AG266" s="745"/>
      <c r="AH266" s="745"/>
      <c r="AI266" s="745"/>
      <c r="AJ266" s="745"/>
      <c r="AK266" s="745"/>
      <c r="AL266" s="745"/>
      <c r="AM266" s="745"/>
      <c r="AN266" s="430"/>
      <c r="AO266" s="477">
        <f>SUM(AO257:AR265)</f>
        <v>165.52</v>
      </c>
      <c r="AP266" s="746"/>
      <c r="AQ266" s="746"/>
      <c r="AR266" s="747"/>
    </row>
    <row r="268" spans="3:44" ht="18" customHeight="1">
      <c r="C268" s="794" t="s">
        <v>43</v>
      </c>
      <c r="D268" s="774"/>
      <c r="E268" s="775"/>
      <c r="F268" s="773" t="s">
        <v>89</v>
      </c>
      <c r="G268" s="774"/>
      <c r="H268" s="774"/>
      <c r="I268" s="774"/>
      <c r="J268" s="774"/>
      <c r="K268" s="774"/>
      <c r="L268" s="774"/>
      <c r="M268" s="774"/>
      <c r="N268" s="774"/>
      <c r="O268" s="774"/>
      <c r="P268" s="774"/>
      <c r="Q268" s="774"/>
      <c r="R268" s="775"/>
      <c r="S268" s="773" t="s">
        <v>90</v>
      </c>
      <c r="T268" s="774"/>
      <c r="U268" s="775"/>
      <c r="V268" s="773" t="s">
        <v>91</v>
      </c>
      <c r="W268" s="774"/>
      <c r="X268" s="775"/>
      <c r="Y268" s="773" t="s">
        <v>92</v>
      </c>
      <c r="Z268" s="774"/>
      <c r="AA268" s="774"/>
      <c r="AB268" s="774"/>
      <c r="AC268" s="774"/>
      <c r="AD268" s="775"/>
      <c r="AE268" s="773" t="s">
        <v>93</v>
      </c>
      <c r="AF268" s="774"/>
      <c r="AG268" s="775"/>
      <c r="AH268" s="773" t="s">
        <v>94</v>
      </c>
      <c r="AI268" s="774"/>
      <c r="AJ268" s="775"/>
      <c r="AK268" s="773" t="s">
        <v>86</v>
      </c>
      <c r="AL268" s="774"/>
      <c r="AM268" s="774"/>
      <c r="AN268" s="775"/>
      <c r="AO268" s="773" t="s">
        <v>87</v>
      </c>
      <c r="AP268" s="774"/>
      <c r="AQ268" s="774"/>
      <c r="AR268" s="779"/>
    </row>
    <row r="269" spans="3:44" ht="18" customHeight="1">
      <c r="C269" s="795"/>
      <c r="D269" s="777"/>
      <c r="E269" s="778"/>
      <c r="F269" s="776"/>
      <c r="G269" s="777"/>
      <c r="H269" s="777"/>
      <c r="I269" s="777"/>
      <c r="J269" s="777"/>
      <c r="K269" s="777"/>
      <c r="L269" s="777"/>
      <c r="M269" s="777"/>
      <c r="N269" s="777"/>
      <c r="O269" s="777"/>
      <c r="P269" s="777"/>
      <c r="Q269" s="777"/>
      <c r="R269" s="778"/>
      <c r="S269" s="776"/>
      <c r="T269" s="777"/>
      <c r="U269" s="778"/>
      <c r="V269" s="776"/>
      <c r="W269" s="777"/>
      <c r="X269" s="778"/>
      <c r="Y269" s="776"/>
      <c r="Z269" s="777"/>
      <c r="AA269" s="777"/>
      <c r="AB269" s="777"/>
      <c r="AC269" s="777"/>
      <c r="AD269" s="778"/>
      <c r="AE269" s="776"/>
      <c r="AF269" s="777"/>
      <c r="AG269" s="778"/>
      <c r="AH269" s="776"/>
      <c r="AI269" s="777"/>
      <c r="AJ269" s="778"/>
      <c r="AK269" s="776"/>
      <c r="AL269" s="777"/>
      <c r="AM269" s="777"/>
      <c r="AN269" s="778"/>
      <c r="AO269" s="776"/>
      <c r="AP269" s="777"/>
      <c r="AQ269" s="777"/>
      <c r="AR269" s="780"/>
    </row>
    <row r="270" spans="3:44" ht="18" customHeight="1">
      <c r="C270" s="781"/>
      <c r="D270" s="782"/>
      <c r="E270" s="783"/>
      <c r="F270" s="457"/>
      <c r="G270" s="457"/>
      <c r="H270" s="457"/>
      <c r="I270" s="457"/>
      <c r="J270" s="457"/>
      <c r="K270" s="457"/>
      <c r="L270" s="457"/>
      <c r="M270" s="457"/>
      <c r="N270" s="457"/>
      <c r="O270" s="457"/>
      <c r="P270" s="457"/>
      <c r="Q270" s="457"/>
      <c r="R270" s="457"/>
      <c r="S270" s="784"/>
      <c r="T270" s="785"/>
      <c r="U270" s="786"/>
      <c r="V270" s="784"/>
      <c r="W270" s="785"/>
      <c r="X270" s="786"/>
      <c r="Y270" s="787"/>
      <c r="Z270" s="788"/>
      <c r="AA270" s="788"/>
      <c r="AB270" s="788"/>
      <c r="AC270" s="788"/>
      <c r="AD270" s="789"/>
      <c r="AE270" s="449"/>
      <c r="AF270" s="449"/>
      <c r="AG270" s="449"/>
      <c r="AH270" s="770"/>
      <c r="AI270" s="771"/>
      <c r="AJ270" s="790"/>
      <c r="AK270" s="791"/>
      <c r="AL270" s="792"/>
      <c r="AM270" s="792"/>
      <c r="AN270" s="793"/>
      <c r="AO270" s="770"/>
      <c r="AP270" s="771"/>
      <c r="AQ270" s="771"/>
      <c r="AR270" s="772"/>
    </row>
    <row r="271" spans="3:44" ht="18" customHeight="1">
      <c r="C271" s="758"/>
      <c r="D271" s="759"/>
      <c r="E271" s="760"/>
      <c r="F271" s="761"/>
      <c r="G271" s="762"/>
      <c r="H271" s="762"/>
      <c r="I271" s="762"/>
      <c r="J271" s="762"/>
      <c r="K271" s="762"/>
      <c r="L271" s="762"/>
      <c r="M271" s="762"/>
      <c r="N271" s="762"/>
      <c r="O271" s="762"/>
      <c r="P271" s="762"/>
      <c r="Q271" s="762"/>
      <c r="R271" s="763"/>
      <c r="S271" s="764"/>
      <c r="T271" s="765"/>
      <c r="U271" s="766"/>
      <c r="V271" s="764"/>
      <c r="W271" s="765"/>
      <c r="X271" s="766"/>
      <c r="Y271" s="767"/>
      <c r="Z271" s="768"/>
      <c r="AA271" s="768"/>
      <c r="AB271" s="768"/>
      <c r="AC271" s="768"/>
      <c r="AD271" s="769"/>
      <c r="AE271" s="740"/>
      <c r="AF271" s="741"/>
      <c r="AG271" s="757"/>
      <c r="AH271" s="740"/>
      <c r="AI271" s="741"/>
      <c r="AJ271" s="757"/>
      <c r="AK271" s="737"/>
      <c r="AL271" s="738"/>
      <c r="AM271" s="738"/>
      <c r="AN271" s="739"/>
      <c r="AO271" s="740">
        <f t="shared" ref="AO271:AO277" si="6">ROUND(AE271*AH271*AK271,2)</f>
        <v>0</v>
      </c>
      <c r="AP271" s="741"/>
      <c r="AQ271" s="741"/>
      <c r="AR271" s="742"/>
    </row>
    <row r="272" spans="3:44" ht="18" customHeight="1">
      <c r="C272" s="758"/>
      <c r="D272" s="759"/>
      <c r="E272" s="760"/>
      <c r="F272" s="761"/>
      <c r="G272" s="762"/>
      <c r="H272" s="762"/>
      <c r="I272" s="762"/>
      <c r="J272" s="762"/>
      <c r="K272" s="762"/>
      <c r="L272" s="762"/>
      <c r="M272" s="762"/>
      <c r="N272" s="762"/>
      <c r="O272" s="762"/>
      <c r="P272" s="762"/>
      <c r="Q272" s="762"/>
      <c r="R272" s="763"/>
      <c r="S272" s="764"/>
      <c r="T272" s="765"/>
      <c r="U272" s="766"/>
      <c r="V272" s="764"/>
      <c r="W272" s="765"/>
      <c r="X272" s="766"/>
      <c r="Y272" s="767"/>
      <c r="Z272" s="768"/>
      <c r="AA272" s="768"/>
      <c r="AB272" s="768"/>
      <c r="AC272" s="768"/>
      <c r="AD272" s="769"/>
      <c r="AE272" s="740"/>
      <c r="AF272" s="741"/>
      <c r="AG272" s="757"/>
      <c r="AH272" s="740"/>
      <c r="AI272" s="741"/>
      <c r="AJ272" s="757"/>
      <c r="AK272" s="737"/>
      <c r="AL272" s="738"/>
      <c r="AM272" s="738"/>
      <c r="AN272" s="739"/>
      <c r="AO272" s="740">
        <f t="shared" si="6"/>
        <v>0</v>
      </c>
      <c r="AP272" s="741"/>
      <c r="AQ272" s="741"/>
      <c r="AR272" s="742"/>
    </row>
    <row r="273" spans="1:44" ht="18" customHeight="1">
      <c r="C273" s="758"/>
      <c r="D273" s="759"/>
      <c r="E273" s="760"/>
      <c r="F273" s="761"/>
      <c r="G273" s="762"/>
      <c r="H273" s="762"/>
      <c r="I273" s="762"/>
      <c r="J273" s="762"/>
      <c r="K273" s="762"/>
      <c r="L273" s="762"/>
      <c r="M273" s="762"/>
      <c r="N273" s="762"/>
      <c r="O273" s="762"/>
      <c r="P273" s="762"/>
      <c r="Q273" s="762"/>
      <c r="R273" s="763"/>
      <c r="S273" s="764"/>
      <c r="T273" s="765"/>
      <c r="U273" s="766"/>
      <c r="V273" s="764"/>
      <c r="W273" s="765"/>
      <c r="X273" s="766"/>
      <c r="Y273" s="767"/>
      <c r="Z273" s="768"/>
      <c r="AA273" s="768"/>
      <c r="AB273" s="768"/>
      <c r="AC273" s="768"/>
      <c r="AD273" s="769"/>
      <c r="AE273" s="740"/>
      <c r="AF273" s="741"/>
      <c r="AG273" s="757"/>
      <c r="AH273" s="740"/>
      <c r="AI273" s="741"/>
      <c r="AJ273" s="757"/>
      <c r="AK273" s="737"/>
      <c r="AL273" s="738"/>
      <c r="AM273" s="738"/>
      <c r="AN273" s="739"/>
      <c r="AO273" s="740">
        <f t="shared" si="6"/>
        <v>0</v>
      </c>
      <c r="AP273" s="741"/>
      <c r="AQ273" s="741"/>
      <c r="AR273" s="742"/>
    </row>
    <row r="274" spans="1:44" ht="18" customHeight="1">
      <c r="C274" s="758"/>
      <c r="D274" s="759"/>
      <c r="E274" s="760"/>
      <c r="F274" s="761"/>
      <c r="G274" s="762"/>
      <c r="H274" s="762"/>
      <c r="I274" s="762"/>
      <c r="J274" s="762"/>
      <c r="K274" s="762"/>
      <c r="L274" s="762"/>
      <c r="M274" s="762"/>
      <c r="N274" s="762"/>
      <c r="O274" s="762"/>
      <c r="P274" s="762"/>
      <c r="Q274" s="762"/>
      <c r="R274" s="763"/>
      <c r="S274" s="764"/>
      <c r="T274" s="765"/>
      <c r="U274" s="766"/>
      <c r="V274" s="764"/>
      <c r="W274" s="765"/>
      <c r="X274" s="766"/>
      <c r="Y274" s="767"/>
      <c r="Z274" s="768"/>
      <c r="AA274" s="768"/>
      <c r="AB274" s="768"/>
      <c r="AC274" s="768"/>
      <c r="AD274" s="769"/>
      <c r="AE274" s="740"/>
      <c r="AF274" s="741"/>
      <c r="AG274" s="757"/>
      <c r="AH274" s="740"/>
      <c r="AI274" s="741"/>
      <c r="AJ274" s="757"/>
      <c r="AK274" s="737"/>
      <c r="AL274" s="738"/>
      <c r="AM274" s="738"/>
      <c r="AN274" s="739"/>
      <c r="AO274" s="740">
        <f t="shared" si="6"/>
        <v>0</v>
      </c>
      <c r="AP274" s="741"/>
      <c r="AQ274" s="741"/>
      <c r="AR274" s="742"/>
    </row>
    <row r="275" spans="1:44" ht="18" customHeight="1">
      <c r="C275" s="758"/>
      <c r="D275" s="759"/>
      <c r="E275" s="760"/>
      <c r="F275" s="761"/>
      <c r="G275" s="762"/>
      <c r="H275" s="762"/>
      <c r="I275" s="762"/>
      <c r="J275" s="762"/>
      <c r="K275" s="762"/>
      <c r="L275" s="762"/>
      <c r="M275" s="762"/>
      <c r="N275" s="762"/>
      <c r="O275" s="762"/>
      <c r="P275" s="762"/>
      <c r="Q275" s="762"/>
      <c r="R275" s="763"/>
      <c r="S275" s="764"/>
      <c r="T275" s="765"/>
      <c r="U275" s="766"/>
      <c r="V275" s="764"/>
      <c r="W275" s="765"/>
      <c r="X275" s="766"/>
      <c r="Y275" s="767"/>
      <c r="Z275" s="768"/>
      <c r="AA275" s="768"/>
      <c r="AB275" s="768"/>
      <c r="AC275" s="768"/>
      <c r="AD275" s="769"/>
      <c r="AE275" s="740"/>
      <c r="AF275" s="741"/>
      <c r="AG275" s="757"/>
      <c r="AH275" s="740"/>
      <c r="AI275" s="741"/>
      <c r="AJ275" s="757"/>
      <c r="AK275" s="737"/>
      <c r="AL275" s="738"/>
      <c r="AM275" s="738"/>
      <c r="AN275" s="739"/>
      <c r="AO275" s="740">
        <f t="shared" si="6"/>
        <v>0</v>
      </c>
      <c r="AP275" s="741"/>
      <c r="AQ275" s="741"/>
      <c r="AR275" s="742"/>
    </row>
    <row r="276" spans="1:44" ht="18" customHeight="1">
      <c r="C276" s="758"/>
      <c r="D276" s="759"/>
      <c r="E276" s="760"/>
      <c r="F276" s="761"/>
      <c r="G276" s="762"/>
      <c r="H276" s="762"/>
      <c r="I276" s="762"/>
      <c r="J276" s="762"/>
      <c r="K276" s="762"/>
      <c r="L276" s="762"/>
      <c r="M276" s="762"/>
      <c r="N276" s="762"/>
      <c r="O276" s="762"/>
      <c r="P276" s="762"/>
      <c r="Q276" s="762"/>
      <c r="R276" s="763"/>
      <c r="S276" s="764"/>
      <c r="T276" s="765"/>
      <c r="U276" s="766"/>
      <c r="V276" s="764"/>
      <c r="W276" s="765"/>
      <c r="X276" s="766"/>
      <c r="Y276" s="767"/>
      <c r="Z276" s="768"/>
      <c r="AA276" s="768"/>
      <c r="AB276" s="768"/>
      <c r="AC276" s="768"/>
      <c r="AD276" s="769"/>
      <c r="AE276" s="740"/>
      <c r="AF276" s="741"/>
      <c r="AG276" s="757"/>
      <c r="AH276" s="740"/>
      <c r="AI276" s="741"/>
      <c r="AJ276" s="757"/>
      <c r="AK276" s="737"/>
      <c r="AL276" s="738"/>
      <c r="AM276" s="738"/>
      <c r="AN276" s="739"/>
      <c r="AO276" s="740">
        <f t="shared" si="6"/>
        <v>0</v>
      </c>
      <c r="AP276" s="741"/>
      <c r="AQ276" s="741"/>
      <c r="AR276" s="742"/>
    </row>
    <row r="277" spans="1:44" ht="18" customHeight="1">
      <c r="C277" s="758"/>
      <c r="D277" s="759"/>
      <c r="E277" s="760"/>
      <c r="F277" s="761"/>
      <c r="G277" s="762"/>
      <c r="H277" s="762"/>
      <c r="I277" s="762"/>
      <c r="J277" s="762"/>
      <c r="K277" s="762"/>
      <c r="L277" s="762"/>
      <c r="M277" s="762"/>
      <c r="N277" s="762"/>
      <c r="O277" s="762"/>
      <c r="P277" s="762"/>
      <c r="Q277" s="762"/>
      <c r="R277" s="763"/>
      <c r="S277" s="764"/>
      <c r="T277" s="765"/>
      <c r="U277" s="766"/>
      <c r="V277" s="764"/>
      <c r="W277" s="765"/>
      <c r="X277" s="766"/>
      <c r="Y277" s="767"/>
      <c r="Z277" s="768"/>
      <c r="AA277" s="768"/>
      <c r="AB277" s="768"/>
      <c r="AC277" s="768"/>
      <c r="AD277" s="769"/>
      <c r="AE277" s="740"/>
      <c r="AF277" s="741"/>
      <c r="AG277" s="757"/>
      <c r="AH277" s="740"/>
      <c r="AI277" s="741"/>
      <c r="AJ277" s="757"/>
      <c r="AK277" s="737"/>
      <c r="AL277" s="738"/>
      <c r="AM277" s="738"/>
      <c r="AN277" s="739"/>
      <c r="AO277" s="740">
        <f t="shared" si="6"/>
        <v>0</v>
      </c>
      <c r="AP277" s="741"/>
      <c r="AQ277" s="741"/>
      <c r="AR277" s="742"/>
    </row>
    <row r="278" spans="1:44" ht="18" customHeight="1">
      <c r="C278" s="743"/>
      <c r="D278" s="744"/>
      <c r="E278" s="744"/>
      <c r="F278" s="744"/>
      <c r="G278" s="744"/>
      <c r="H278" s="744"/>
      <c r="I278" s="744"/>
      <c r="J278" s="744"/>
      <c r="K278" s="744"/>
      <c r="L278" s="744"/>
      <c r="M278" s="744"/>
      <c r="N278" s="744"/>
      <c r="O278" s="744"/>
      <c r="P278" s="744"/>
      <c r="Q278" s="744"/>
      <c r="R278" s="744"/>
      <c r="S278" s="744"/>
      <c r="T278" s="744"/>
      <c r="U278" s="744"/>
      <c r="V278" s="744"/>
      <c r="W278" s="744"/>
      <c r="X278" s="744"/>
      <c r="Y278" s="745" t="s">
        <v>95</v>
      </c>
      <c r="Z278" s="745"/>
      <c r="AA278" s="745"/>
      <c r="AB278" s="745"/>
      <c r="AC278" s="745"/>
      <c r="AD278" s="745"/>
      <c r="AE278" s="745"/>
      <c r="AF278" s="745"/>
      <c r="AG278" s="745"/>
      <c r="AH278" s="745"/>
      <c r="AI278" s="745"/>
      <c r="AJ278" s="745"/>
      <c r="AK278" s="745"/>
      <c r="AL278" s="745"/>
      <c r="AM278" s="745"/>
      <c r="AN278" s="430"/>
      <c r="AO278" s="477">
        <f>SUM(AO270:AR277)</f>
        <v>0</v>
      </c>
      <c r="AP278" s="746"/>
      <c r="AQ278" s="746"/>
      <c r="AR278" s="747"/>
    </row>
    <row r="280" spans="1:44" ht="18" customHeight="1">
      <c r="C280" s="434"/>
      <c r="D280" s="434"/>
      <c r="E280" s="434"/>
      <c r="F280" s="434"/>
      <c r="G280" s="434"/>
      <c r="H280" s="434"/>
      <c r="I280" s="434"/>
      <c r="J280" s="434"/>
      <c r="K280" s="434"/>
      <c r="L280" s="434"/>
      <c r="M280" s="434"/>
      <c r="N280" s="434"/>
      <c r="O280" s="434"/>
      <c r="P280" s="434"/>
      <c r="Q280" s="434"/>
      <c r="R280" s="434"/>
      <c r="S280" s="434"/>
      <c r="T280" s="434"/>
      <c r="U280" s="434"/>
      <c r="V280" s="434"/>
      <c r="W280" s="434"/>
      <c r="X280" s="748"/>
      <c r="Y280" s="749" t="s">
        <v>96</v>
      </c>
      <c r="Z280" s="750"/>
      <c r="AA280" s="750"/>
      <c r="AB280" s="750"/>
      <c r="AC280" s="750"/>
      <c r="AD280" s="750"/>
      <c r="AE280" s="750"/>
      <c r="AF280" s="750"/>
      <c r="AG280" s="750"/>
      <c r="AH280" s="750"/>
      <c r="AI280" s="750"/>
      <c r="AJ280" s="750"/>
      <c r="AK280" s="750"/>
      <c r="AL280" s="750"/>
      <c r="AM280" s="750"/>
      <c r="AN280" s="751"/>
      <c r="AO280" s="752">
        <f>AO253+AO266+AO278</f>
        <v>254.56</v>
      </c>
      <c r="AP280" s="753"/>
      <c r="AQ280" s="753"/>
      <c r="AR280" s="754"/>
    </row>
    <row r="281" spans="1:44" ht="18" customHeight="1">
      <c r="C281" s="434"/>
      <c r="D281" s="434"/>
      <c r="E281" s="434"/>
      <c r="F281" s="434"/>
      <c r="G281" s="434"/>
      <c r="H281" s="434"/>
      <c r="I281" s="434"/>
      <c r="J281" s="434"/>
      <c r="K281" s="434"/>
      <c r="L281" s="434"/>
      <c r="M281" s="434"/>
      <c r="N281" s="434"/>
      <c r="O281" s="434"/>
      <c r="P281" s="434"/>
      <c r="Q281" s="434"/>
      <c r="R281" s="434"/>
      <c r="S281" s="434"/>
      <c r="T281" s="434"/>
      <c r="U281" s="434"/>
      <c r="V281" s="434"/>
      <c r="W281" s="434"/>
      <c r="X281" s="748"/>
      <c r="Y281" s="755" t="s">
        <v>97</v>
      </c>
      <c r="Z281" s="756"/>
      <c r="AA281" s="756"/>
      <c r="AB281" s="756"/>
      <c r="AC281" s="756"/>
      <c r="AD281" s="756"/>
      <c r="AE281" s="756"/>
      <c r="AF281" s="756"/>
      <c r="AG281" s="756"/>
      <c r="AH281" s="442">
        <v>0.2031</v>
      </c>
      <c r="AI281" s="442"/>
      <c r="AJ281" s="442"/>
      <c r="AK281" s="442"/>
      <c r="AL281" s="442"/>
      <c r="AM281" s="442"/>
      <c r="AN281" s="443"/>
      <c r="AO281" s="728">
        <f>ROUND(AO280*AH281,2)</f>
        <v>51.7</v>
      </c>
      <c r="AP281" s="729"/>
      <c r="AQ281" s="729"/>
      <c r="AR281" s="730"/>
    </row>
    <row r="282" spans="1:44" ht="18" customHeight="1">
      <c r="A282" s="415" t="s">
        <v>1627</v>
      </c>
      <c r="B282" s="415"/>
      <c r="C282" s="434"/>
      <c r="D282" s="434"/>
      <c r="E282" s="434"/>
      <c r="F282" s="434"/>
      <c r="G282" s="434"/>
      <c r="H282" s="434"/>
      <c r="I282" s="434"/>
      <c r="J282" s="434"/>
      <c r="K282" s="434"/>
      <c r="L282" s="434"/>
      <c r="M282" s="434"/>
      <c r="N282" s="434"/>
      <c r="O282" s="434"/>
      <c r="P282" s="434"/>
      <c r="Q282" s="434"/>
      <c r="R282" s="434"/>
      <c r="S282" s="434"/>
      <c r="T282" s="434"/>
      <c r="U282" s="434"/>
      <c r="V282" s="434"/>
      <c r="W282" s="434"/>
      <c r="X282" s="748"/>
      <c r="Y282" s="731" t="s">
        <v>98</v>
      </c>
      <c r="Z282" s="732"/>
      <c r="AA282" s="732"/>
      <c r="AB282" s="732"/>
      <c r="AC282" s="732"/>
      <c r="AD282" s="732"/>
      <c r="AE282" s="732"/>
      <c r="AF282" s="732"/>
      <c r="AG282" s="732"/>
      <c r="AH282" s="732"/>
      <c r="AI282" s="732"/>
      <c r="AJ282" s="732"/>
      <c r="AK282" s="732"/>
      <c r="AL282" s="732"/>
      <c r="AM282" s="732"/>
      <c r="AN282" s="733"/>
      <c r="AO282" s="734">
        <f>SUM(AO280:AR281)</f>
        <v>306.26</v>
      </c>
      <c r="AP282" s="735"/>
      <c r="AQ282" s="735"/>
      <c r="AR282" s="736"/>
    </row>
    <row r="284" spans="1:44" ht="18" customHeight="1">
      <c r="C284" s="420" t="s">
        <v>99</v>
      </c>
      <c r="D284" s="421"/>
      <c r="E284" s="421"/>
      <c r="F284" s="421"/>
      <c r="G284" s="421"/>
      <c r="H284" s="421"/>
      <c r="I284" s="422"/>
      <c r="J284" s="422"/>
      <c r="K284" s="422"/>
      <c r="L284" s="422"/>
      <c r="M284" s="422"/>
      <c r="N284" s="422"/>
      <c r="O284" s="422"/>
      <c r="P284" s="422"/>
      <c r="Q284" s="422"/>
      <c r="R284" s="422"/>
      <c r="S284" s="422"/>
      <c r="T284" s="422"/>
      <c r="U284" s="422"/>
      <c r="V284" s="422"/>
      <c r="W284" s="422"/>
      <c r="X284" s="422"/>
      <c r="Y284" s="422"/>
      <c r="Z284" s="422"/>
      <c r="AA284" s="422"/>
      <c r="AB284" s="422"/>
      <c r="AC284" s="422"/>
      <c r="AD284" s="422"/>
      <c r="AE284" s="422"/>
      <c r="AF284" s="422"/>
      <c r="AG284" s="422"/>
      <c r="AH284" s="422"/>
      <c r="AI284" s="422"/>
      <c r="AJ284" s="422"/>
      <c r="AK284" s="422"/>
      <c r="AL284" s="422"/>
      <c r="AM284" s="422"/>
      <c r="AN284" s="422"/>
      <c r="AO284" s="422"/>
      <c r="AP284" s="422"/>
      <c r="AQ284" s="422"/>
      <c r="AR284" s="423"/>
    </row>
    <row r="285" spans="1:44" ht="18" customHeight="1">
      <c r="C285" s="411"/>
      <c r="D285" s="412"/>
      <c r="E285" s="412"/>
      <c r="F285" s="412"/>
      <c r="G285" s="412"/>
      <c r="H285" s="412"/>
      <c r="I285" s="409"/>
      <c r="J285" s="409"/>
      <c r="K285" s="409"/>
      <c r="L285" s="409"/>
      <c r="M285" s="409"/>
      <c r="N285" s="409"/>
      <c r="O285" s="409"/>
      <c r="P285" s="409"/>
      <c r="Q285" s="409"/>
      <c r="R285" s="409"/>
      <c r="S285" s="409"/>
      <c r="T285" s="409"/>
      <c r="U285" s="409"/>
      <c r="V285" s="409"/>
      <c r="W285" s="409"/>
      <c r="X285" s="409"/>
      <c r="Y285" s="409"/>
      <c r="Z285" s="409"/>
      <c r="AA285" s="409"/>
      <c r="AB285" s="409"/>
      <c r="AC285" s="409"/>
      <c r="AD285" s="409"/>
      <c r="AE285" s="409"/>
      <c r="AF285" s="409"/>
      <c r="AG285" s="409"/>
      <c r="AH285" s="409"/>
      <c r="AI285" s="409"/>
      <c r="AJ285" s="409"/>
      <c r="AK285" s="409"/>
      <c r="AL285" s="409"/>
      <c r="AM285" s="409"/>
      <c r="AN285" s="409"/>
      <c r="AO285" s="409"/>
      <c r="AP285" s="409"/>
      <c r="AQ285" s="409"/>
      <c r="AR285" s="410"/>
    </row>
    <row r="286" spans="1:44" ht="18" customHeight="1">
      <c r="C286" s="411"/>
      <c r="D286" s="412"/>
      <c r="E286" s="412"/>
      <c r="F286" s="412"/>
      <c r="G286" s="412"/>
      <c r="H286" s="412"/>
      <c r="I286" s="409"/>
      <c r="J286" s="409"/>
      <c r="K286" s="409"/>
      <c r="L286" s="409"/>
      <c r="M286" s="409"/>
      <c r="N286" s="409"/>
      <c r="O286" s="409"/>
      <c r="P286" s="409"/>
      <c r="Q286" s="409"/>
      <c r="R286" s="409"/>
      <c r="S286" s="409"/>
      <c r="T286" s="409"/>
      <c r="U286" s="409"/>
      <c r="V286" s="409"/>
      <c r="W286" s="409"/>
      <c r="X286" s="409"/>
      <c r="Y286" s="409"/>
      <c r="Z286" s="409"/>
      <c r="AA286" s="409"/>
      <c r="AB286" s="409"/>
      <c r="AC286" s="409"/>
      <c r="AD286" s="409"/>
      <c r="AE286" s="409"/>
      <c r="AF286" s="409"/>
      <c r="AG286" s="409"/>
      <c r="AH286" s="409"/>
      <c r="AI286" s="409"/>
      <c r="AJ286" s="409"/>
      <c r="AK286" s="409"/>
      <c r="AL286" s="409"/>
      <c r="AM286" s="409"/>
      <c r="AN286" s="409"/>
      <c r="AO286" s="409"/>
      <c r="AP286" s="409"/>
      <c r="AQ286" s="409"/>
      <c r="AR286" s="410"/>
    </row>
    <row r="287" spans="1:44" ht="18" customHeight="1">
      <c r="C287" s="411"/>
      <c r="D287" s="412"/>
      <c r="E287" s="412"/>
      <c r="F287" s="412"/>
      <c r="G287" s="412"/>
      <c r="H287" s="412"/>
      <c r="I287" s="409"/>
      <c r="J287" s="409"/>
      <c r="K287" s="409"/>
      <c r="L287" s="409"/>
      <c r="M287" s="409"/>
      <c r="N287" s="409"/>
      <c r="O287" s="409"/>
      <c r="P287" s="409"/>
      <c r="Q287" s="409"/>
      <c r="R287" s="409"/>
      <c r="S287" s="409"/>
      <c r="T287" s="409"/>
      <c r="U287" s="409"/>
      <c r="V287" s="409"/>
      <c r="W287" s="409"/>
      <c r="X287" s="409"/>
      <c r="Y287" s="409"/>
      <c r="Z287" s="409"/>
      <c r="AA287" s="409"/>
      <c r="AB287" s="409"/>
      <c r="AC287" s="409"/>
      <c r="AD287" s="409"/>
      <c r="AE287" s="409"/>
      <c r="AF287" s="409"/>
      <c r="AG287" s="409"/>
      <c r="AH287" s="409"/>
      <c r="AI287" s="409"/>
      <c r="AJ287" s="409"/>
      <c r="AK287" s="409"/>
      <c r="AL287" s="409"/>
      <c r="AM287" s="409"/>
      <c r="AN287" s="409"/>
      <c r="AO287" s="409"/>
      <c r="AP287" s="409"/>
      <c r="AQ287" s="409"/>
      <c r="AR287" s="410"/>
    </row>
    <row r="288" spans="1:44" ht="18" customHeight="1">
      <c r="C288" s="411"/>
      <c r="D288" s="412"/>
      <c r="E288" s="412"/>
      <c r="F288" s="412"/>
      <c r="G288" s="412"/>
      <c r="H288" s="412"/>
      <c r="I288" s="409"/>
      <c r="J288" s="409"/>
      <c r="K288" s="409"/>
      <c r="L288" s="409"/>
      <c r="M288" s="409"/>
      <c r="N288" s="409"/>
      <c r="O288" s="409"/>
      <c r="P288" s="409"/>
      <c r="Q288" s="409"/>
      <c r="R288" s="409"/>
      <c r="S288" s="409"/>
      <c r="T288" s="409"/>
      <c r="U288" s="409"/>
      <c r="V288" s="409"/>
      <c r="W288" s="409"/>
      <c r="X288" s="409"/>
      <c r="Y288" s="409"/>
      <c r="Z288" s="409"/>
      <c r="AA288" s="409"/>
      <c r="AB288" s="409"/>
      <c r="AC288" s="409"/>
      <c r="AD288" s="409"/>
      <c r="AE288" s="409"/>
      <c r="AF288" s="409"/>
      <c r="AG288" s="409"/>
      <c r="AH288" s="409"/>
      <c r="AI288" s="409"/>
      <c r="AJ288" s="409"/>
      <c r="AK288" s="409"/>
      <c r="AL288" s="409"/>
      <c r="AM288" s="409"/>
      <c r="AN288" s="409"/>
      <c r="AO288" s="409"/>
      <c r="AP288" s="409"/>
      <c r="AQ288" s="409"/>
      <c r="AR288" s="410"/>
    </row>
    <row r="289" spans="3:44" ht="18" customHeight="1">
      <c r="C289" s="385"/>
      <c r="D289" s="386"/>
      <c r="E289" s="386"/>
      <c r="F289" s="386"/>
      <c r="G289" s="386"/>
      <c r="H289" s="386"/>
      <c r="I289" s="387"/>
      <c r="J289" s="387"/>
      <c r="K289" s="387"/>
      <c r="L289" s="387"/>
      <c r="M289" s="387"/>
      <c r="N289" s="387"/>
      <c r="O289" s="387"/>
      <c r="P289" s="387"/>
      <c r="Q289" s="387"/>
      <c r="R289" s="387"/>
      <c r="S289" s="387"/>
      <c r="T289" s="387"/>
      <c r="U289" s="387"/>
      <c r="V289" s="387"/>
      <c r="W289" s="387"/>
      <c r="X289" s="387"/>
      <c r="Y289" s="387"/>
      <c r="Z289" s="387"/>
      <c r="AA289" s="387"/>
      <c r="AB289" s="387"/>
      <c r="AC289" s="387"/>
      <c r="AD289" s="387"/>
      <c r="AE289" s="387"/>
      <c r="AF289" s="387"/>
      <c r="AG289" s="387"/>
      <c r="AH289" s="387"/>
      <c r="AI289" s="387"/>
      <c r="AJ289" s="387"/>
      <c r="AK289" s="387"/>
      <c r="AL289" s="387"/>
      <c r="AM289" s="387"/>
      <c r="AN289" s="387"/>
      <c r="AO289" s="387"/>
      <c r="AP289" s="387"/>
      <c r="AQ289" s="387"/>
      <c r="AR289" s="388"/>
    </row>
    <row r="291" spans="3:44" ht="18" customHeight="1">
      <c r="C291" s="389" t="s">
        <v>100</v>
      </c>
      <c r="D291" s="390"/>
      <c r="E291" s="390"/>
      <c r="F291" s="390"/>
      <c r="G291" s="390"/>
      <c r="H291" s="390"/>
      <c r="I291" s="390"/>
      <c r="J291" s="390"/>
      <c r="K291" s="390"/>
      <c r="L291" s="390"/>
      <c r="M291" s="390"/>
      <c r="N291" s="390"/>
      <c r="O291" s="390"/>
      <c r="P291" s="390"/>
      <c r="Q291" s="390"/>
      <c r="R291" s="390"/>
      <c r="S291" s="390"/>
      <c r="T291" s="390"/>
      <c r="U291" s="390"/>
      <c r="V291" s="390"/>
      <c r="W291" s="390"/>
      <c r="X291" s="390"/>
      <c r="Y291" s="390"/>
      <c r="Z291" s="390"/>
      <c r="AA291" s="391"/>
      <c r="AB291" s="392" t="str">
        <f>[4]C.UNIT.SERV.!$E$5</f>
        <v>DATA-BASE:      MAIO/2011/PR</v>
      </c>
      <c r="AC291" s="393"/>
      <c r="AD291" s="393"/>
      <c r="AE291" s="393"/>
      <c r="AF291" s="393"/>
      <c r="AG291" s="393"/>
      <c r="AH291" s="393"/>
      <c r="AI291" s="394"/>
      <c r="AJ291" s="392"/>
      <c r="AK291" s="393"/>
      <c r="AL291" s="393"/>
      <c r="AM291" s="393"/>
      <c r="AN291" s="393"/>
      <c r="AO291" s="393"/>
      <c r="AP291" s="393"/>
      <c r="AQ291" s="393"/>
      <c r="AR291" s="401"/>
    </row>
    <row r="292" spans="3:44" ht="18" customHeight="1">
      <c r="C292" s="404" t="s">
        <v>101</v>
      </c>
      <c r="D292" s="405"/>
      <c r="E292" s="405"/>
      <c r="F292" s="405"/>
      <c r="G292" s="405" t="s">
        <v>283</v>
      </c>
      <c r="H292" s="405"/>
      <c r="I292" s="405"/>
      <c r="J292" s="405"/>
      <c r="K292" s="405"/>
      <c r="L292" s="405"/>
      <c r="M292" s="405"/>
      <c r="N292" s="405"/>
      <c r="O292" s="405"/>
      <c r="P292" s="405"/>
      <c r="Q292" s="405"/>
      <c r="R292" s="405"/>
      <c r="S292" s="405"/>
      <c r="T292" s="405"/>
      <c r="U292" s="405"/>
      <c r="V292" s="405"/>
      <c r="W292" s="405"/>
      <c r="X292" s="405"/>
      <c r="Y292" s="405"/>
      <c r="Z292" s="405"/>
      <c r="AA292" s="406"/>
      <c r="AB292" s="395"/>
      <c r="AC292" s="396"/>
      <c r="AD292" s="396"/>
      <c r="AE292" s="396"/>
      <c r="AF292" s="396"/>
      <c r="AG292" s="396"/>
      <c r="AH292" s="396"/>
      <c r="AI292" s="397"/>
      <c r="AJ292" s="395"/>
      <c r="AK292" s="396"/>
      <c r="AL292" s="396"/>
      <c r="AM292" s="396"/>
      <c r="AN292" s="396"/>
      <c r="AO292" s="396"/>
      <c r="AP292" s="396"/>
      <c r="AQ292" s="396"/>
      <c r="AR292" s="402"/>
    </row>
    <row r="293" spans="3:44" ht="18" customHeight="1">
      <c r="C293" s="404" t="s">
        <v>102</v>
      </c>
      <c r="D293" s="405"/>
      <c r="E293" s="405"/>
      <c r="F293" s="405"/>
      <c r="G293" s="405"/>
      <c r="H293" s="405"/>
      <c r="I293" s="405"/>
      <c r="J293" s="405"/>
      <c r="K293" s="405"/>
      <c r="L293" s="405"/>
      <c r="M293" s="405"/>
      <c r="N293" s="405"/>
      <c r="O293" s="405"/>
      <c r="P293" s="405"/>
      <c r="Q293" s="405"/>
      <c r="R293" s="405"/>
      <c r="S293" s="405"/>
      <c r="T293" s="405"/>
      <c r="U293" s="405"/>
      <c r="V293" s="405"/>
      <c r="W293" s="405"/>
      <c r="X293" s="405"/>
      <c r="Y293" s="405"/>
      <c r="Z293" s="405"/>
      <c r="AA293" s="406"/>
      <c r="AB293" s="395"/>
      <c r="AC293" s="396"/>
      <c r="AD293" s="396"/>
      <c r="AE293" s="396"/>
      <c r="AF293" s="396"/>
      <c r="AG293" s="396"/>
      <c r="AH293" s="396"/>
      <c r="AI293" s="397"/>
      <c r="AJ293" s="395"/>
      <c r="AK293" s="396"/>
      <c r="AL293" s="396"/>
      <c r="AM293" s="396"/>
      <c r="AN293" s="396"/>
      <c r="AO293" s="396"/>
      <c r="AP293" s="396"/>
      <c r="AQ293" s="396"/>
      <c r="AR293" s="402"/>
    </row>
    <row r="294" spans="3:44" ht="18" customHeight="1">
      <c r="C294" s="407"/>
      <c r="D294" s="408"/>
      <c r="E294" s="408"/>
      <c r="F294" s="408"/>
      <c r="G294" s="408"/>
      <c r="H294" s="408"/>
      <c r="I294" s="408"/>
      <c r="J294" s="408"/>
      <c r="K294" s="408"/>
      <c r="L294" s="408"/>
      <c r="M294" s="408"/>
      <c r="N294" s="408"/>
      <c r="O294" s="408"/>
      <c r="P294" s="408"/>
      <c r="Q294" s="408"/>
      <c r="R294" s="408"/>
      <c r="S294" s="408"/>
      <c r="T294" s="408"/>
      <c r="U294" s="408"/>
      <c r="V294" s="408"/>
      <c r="W294" s="408"/>
      <c r="X294" s="408"/>
      <c r="Y294" s="408"/>
      <c r="Z294" s="408"/>
      <c r="AA294" s="408"/>
      <c r="AB294" s="398"/>
      <c r="AC294" s="399"/>
      <c r="AD294" s="399"/>
      <c r="AE294" s="399"/>
      <c r="AF294" s="399"/>
      <c r="AG294" s="399"/>
      <c r="AH294" s="399"/>
      <c r="AI294" s="400"/>
      <c r="AJ294" s="398"/>
      <c r="AK294" s="399"/>
      <c r="AL294" s="399"/>
      <c r="AM294" s="399"/>
      <c r="AN294" s="399"/>
      <c r="AO294" s="399"/>
      <c r="AP294" s="399"/>
      <c r="AQ294" s="399"/>
      <c r="AR294" s="403"/>
    </row>
    <row r="296" spans="3:44" ht="18" customHeight="1">
      <c r="C296" s="850" t="s">
        <v>64</v>
      </c>
      <c r="D296" s="851"/>
      <c r="E296" s="851"/>
      <c r="F296" s="851"/>
      <c r="G296" s="851"/>
      <c r="H296" s="851"/>
      <c r="I296" s="851"/>
      <c r="J296" s="851"/>
      <c r="K296" s="851"/>
      <c r="L296" s="851"/>
      <c r="M296" s="851"/>
      <c r="N296" s="851"/>
      <c r="O296" s="851"/>
      <c r="P296" s="851"/>
      <c r="Q296" s="851"/>
      <c r="R296" s="851"/>
      <c r="S296" s="851"/>
      <c r="T296" s="851"/>
      <c r="U296" s="851"/>
      <c r="V296" s="851"/>
      <c r="W296" s="851"/>
      <c r="X296" s="851"/>
      <c r="Y296" s="851"/>
      <c r="Z296" s="851"/>
      <c r="AA296" s="851"/>
      <c r="AB296" s="851"/>
      <c r="AC296" s="851"/>
      <c r="AD296" s="851"/>
      <c r="AE296" s="851"/>
      <c r="AF296" s="851"/>
      <c r="AG296" s="851"/>
      <c r="AH296" s="851"/>
      <c r="AI296" s="851"/>
      <c r="AJ296" s="851"/>
      <c r="AK296" s="851"/>
      <c r="AL296" s="851"/>
      <c r="AM296" s="851"/>
      <c r="AN296" s="851"/>
      <c r="AO296" s="851"/>
      <c r="AP296" s="851"/>
      <c r="AQ296" s="851"/>
      <c r="AR296" s="852"/>
    </row>
    <row r="297" spans="3:44" ht="18" customHeight="1">
      <c r="C297" s="853"/>
      <c r="D297" s="854"/>
      <c r="E297" s="854"/>
      <c r="F297" s="854"/>
      <c r="G297" s="854"/>
      <c r="H297" s="854"/>
      <c r="I297" s="854"/>
      <c r="J297" s="854"/>
      <c r="K297" s="854"/>
      <c r="L297" s="854"/>
      <c r="M297" s="854"/>
      <c r="N297" s="854"/>
      <c r="O297" s="854"/>
      <c r="P297" s="854"/>
      <c r="Q297" s="854"/>
      <c r="R297" s="854"/>
      <c r="S297" s="854"/>
      <c r="T297" s="854"/>
      <c r="U297" s="854"/>
      <c r="V297" s="854"/>
      <c r="W297" s="854"/>
      <c r="X297" s="854"/>
      <c r="Y297" s="854"/>
      <c r="Z297" s="854"/>
      <c r="AA297" s="854"/>
      <c r="AB297" s="854"/>
      <c r="AC297" s="854"/>
      <c r="AD297" s="854"/>
      <c r="AE297" s="854"/>
      <c r="AF297" s="854"/>
      <c r="AG297" s="854"/>
      <c r="AH297" s="854"/>
      <c r="AI297" s="854"/>
      <c r="AJ297" s="854"/>
      <c r="AK297" s="854"/>
      <c r="AL297" s="854"/>
      <c r="AM297" s="854"/>
      <c r="AN297" s="854"/>
      <c r="AO297" s="854"/>
      <c r="AP297" s="854"/>
      <c r="AQ297" s="854"/>
      <c r="AR297" s="855"/>
    </row>
    <row r="298" spans="3:44" ht="18" customHeight="1">
      <c r="C298" s="856" t="s">
        <v>65</v>
      </c>
      <c r="D298" s="857"/>
      <c r="E298" s="857"/>
      <c r="F298" s="857"/>
      <c r="G298" s="860" t="s">
        <v>1628</v>
      </c>
      <c r="H298" s="860"/>
      <c r="I298" s="860"/>
      <c r="J298" s="861"/>
      <c r="K298" s="864" t="s">
        <v>66</v>
      </c>
      <c r="L298" s="865"/>
      <c r="M298" s="865"/>
      <c r="N298" s="865"/>
      <c r="O298" s="526" t="s">
        <v>1617</v>
      </c>
      <c r="P298" s="526"/>
      <c r="Q298" s="526"/>
      <c r="R298" s="526"/>
      <c r="S298" s="526"/>
      <c r="T298" s="526"/>
      <c r="U298" s="526"/>
      <c r="V298" s="526"/>
      <c r="W298" s="526"/>
      <c r="X298" s="526"/>
      <c r="Y298" s="526"/>
      <c r="Z298" s="526"/>
      <c r="AA298" s="526"/>
      <c r="AB298" s="526"/>
      <c r="AC298" s="526"/>
      <c r="AD298" s="526"/>
      <c r="AE298" s="526"/>
      <c r="AF298" s="526"/>
      <c r="AG298" s="526"/>
      <c r="AH298" s="526"/>
      <c r="AI298" s="526"/>
      <c r="AJ298" s="526"/>
      <c r="AK298" s="527"/>
      <c r="AL298" s="864" t="s">
        <v>67</v>
      </c>
      <c r="AM298" s="865"/>
      <c r="AN298" s="865"/>
      <c r="AO298" s="865"/>
      <c r="AP298" s="843" t="s">
        <v>245</v>
      </c>
      <c r="AQ298" s="843"/>
      <c r="AR298" s="844"/>
    </row>
    <row r="299" spans="3:44" ht="18" customHeight="1">
      <c r="C299" s="858"/>
      <c r="D299" s="859"/>
      <c r="E299" s="859"/>
      <c r="F299" s="859"/>
      <c r="G299" s="862"/>
      <c r="H299" s="862"/>
      <c r="I299" s="862"/>
      <c r="J299" s="863"/>
      <c r="K299" s="866"/>
      <c r="L299" s="867"/>
      <c r="M299" s="867"/>
      <c r="N299" s="867"/>
      <c r="O299" s="528"/>
      <c r="P299" s="528"/>
      <c r="Q299" s="528"/>
      <c r="R299" s="528"/>
      <c r="S299" s="528"/>
      <c r="T299" s="528"/>
      <c r="U299" s="528"/>
      <c r="V299" s="528"/>
      <c r="W299" s="528"/>
      <c r="X299" s="528"/>
      <c r="Y299" s="528"/>
      <c r="Z299" s="528"/>
      <c r="AA299" s="528"/>
      <c r="AB299" s="528"/>
      <c r="AC299" s="528"/>
      <c r="AD299" s="528"/>
      <c r="AE299" s="528"/>
      <c r="AF299" s="528"/>
      <c r="AG299" s="528"/>
      <c r="AH299" s="528"/>
      <c r="AI299" s="528"/>
      <c r="AJ299" s="528"/>
      <c r="AK299" s="529"/>
      <c r="AL299" s="866"/>
      <c r="AM299" s="867"/>
      <c r="AN299" s="867"/>
      <c r="AO299" s="867"/>
      <c r="AP299" s="845"/>
      <c r="AQ299" s="845"/>
      <c r="AR299" s="846"/>
    </row>
    <row r="301" spans="3:44" ht="18" customHeight="1">
      <c r="C301" s="794" t="s">
        <v>43</v>
      </c>
      <c r="D301" s="774"/>
      <c r="E301" s="775"/>
      <c r="F301" s="773" t="s">
        <v>68</v>
      </c>
      <c r="G301" s="774"/>
      <c r="H301" s="774"/>
      <c r="I301" s="774"/>
      <c r="J301" s="774"/>
      <c r="K301" s="774"/>
      <c r="L301" s="774"/>
      <c r="M301" s="774"/>
      <c r="N301" s="774"/>
      <c r="O301" s="774"/>
      <c r="P301" s="774"/>
      <c r="Q301" s="774"/>
      <c r="R301" s="774"/>
      <c r="S301" s="774"/>
      <c r="T301" s="774"/>
      <c r="U301" s="775"/>
      <c r="V301" s="773" t="s">
        <v>249</v>
      </c>
      <c r="W301" s="774"/>
      <c r="X301" s="775"/>
      <c r="Y301" s="847" t="s">
        <v>69</v>
      </c>
      <c r="Z301" s="848"/>
      <c r="AA301" s="848"/>
      <c r="AB301" s="848"/>
      <c r="AC301" s="848"/>
      <c r="AD301" s="848"/>
      <c r="AE301" s="848"/>
      <c r="AF301" s="849"/>
      <c r="AG301" s="847" t="s">
        <v>70</v>
      </c>
      <c r="AH301" s="848"/>
      <c r="AI301" s="848"/>
      <c r="AJ301" s="848"/>
      <c r="AK301" s="848"/>
      <c r="AL301" s="848"/>
      <c r="AM301" s="848"/>
      <c r="AN301" s="849"/>
      <c r="AO301" s="773" t="s">
        <v>71</v>
      </c>
      <c r="AP301" s="774"/>
      <c r="AQ301" s="774"/>
      <c r="AR301" s="779"/>
    </row>
    <row r="302" spans="3:44" ht="18" customHeight="1">
      <c r="C302" s="795"/>
      <c r="D302" s="777"/>
      <c r="E302" s="778"/>
      <c r="F302" s="776"/>
      <c r="G302" s="777"/>
      <c r="H302" s="777"/>
      <c r="I302" s="777"/>
      <c r="J302" s="777"/>
      <c r="K302" s="777"/>
      <c r="L302" s="777"/>
      <c r="M302" s="777"/>
      <c r="N302" s="777"/>
      <c r="O302" s="777"/>
      <c r="P302" s="777"/>
      <c r="Q302" s="777"/>
      <c r="R302" s="777"/>
      <c r="S302" s="777"/>
      <c r="T302" s="777"/>
      <c r="U302" s="778"/>
      <c r="V302" s="776"/>
      <c r="W302" s="777"/>
      <c r="X302" s="778"/>
      <c r="Y302" s="834" t="s">
        <v>72</v>
      </c>
      <c r="Z302" s="835"/>
      <c r="AA302" s="835"/>
      <c r="AB302" s="836"/>
      <c r="AC302" s="834" t="s">
        <v>73</v>
      </c>
      <c r="AD302" s="835"/>
      <c r="AE302" s="835"/>
      <c r="AF302" s="836"/>
      <c r="AG302" s="834" t="s">
        <v>72</v>
      </c>
      <c r="AH302" s="835"/>
      <c r="AI302" s="835"/>
      <c r="AJ302" s="836"/>
      <c r="AK302" s="834" t="s">
        <v>73</v>
      </c>
      <c r="AL302" s="835"/>
      <c r="AM302" s="835"/>
      <c r="AN302" s="836"/>
      <c r="AO302" s="776"/>
      <c r="AP302" s="777"/>
      <c r="AQ302" s="777"/>
      <c r="AR302" s="780"/>
    </row>
    <row r="303" spans="3:44" ht="18" customHeight="1">
      <c r="C303" s="781" t="s">
        <v>1609</v>
      </c>
      <c r="D303" s="782"/>
      <c r="E303" s="783"/>
      <c r="F303" s="493" t="s">
        <v>1610</v>
      </c>
      <c r="G303" s="493"/>
      <c r="H303" s="493"/>
      <c r="I303" s="493"/>
      <c r="J303" s="493"/>
      <c r="K303" s="493"/>
      <c r="L303" s="493"/>
      <c r="M303" s="493"/>
      <c r="N303" s="493"/>
      <c r="O303" s="493"/>
      <c r="P303" s="493"/>
      <c r="Q303" s="493"/>
      <c r="R303" s="493"/>
      <c r="S303" s="493"/>
      <c r="T303" s="493"/>
      <c r="U303" s="493"/>
      <c r="V303" s="837">
        <v>1</v>
      </c>
      <c r="W303" s="838"/>
      <c r="X303" s="839"/>
      <c r="Y303" s="837">
        <v>1</v>
      </c>
      <c r="Z303" s="838"/>
      <c r="AA303" s="838"/>
      <c r="AB303" s="839"/>
      <c r="AC303" s="840">
        <v>0</v>
      </c>
      <c r="AD303" s="841"/>
      <c r="AE303" s="841"/>
      <c r="AF303" s="842"/>
      <c r="AG303" s="491">
        <v>17.07</v>
      </c>
      <c r="AH303" s="491"/>
      <c r="AI303" s="491"/>
      <c r="AJ303" s="491"/>
      <c r="AK303" s="491">
        <v>15.13</v>
      </c>
      <c r="AL303" s="491"/>
      <c r="AM303" s="491"/>
      <c r="AN303" s="491"/>
      <c r="AO303" s="491">
        <f>ROUND((Y303*AG303+AC303*AK303)*V303,2)</f>
        <v>17.07</v>
      </c>
      <c r="AP303" s="491"/>
      <c r="AQ303" s="491"/>
      <c r="AR303" s="492"/>
    </row>
    <row r="304" spans="3:44" ht="18" customHeight="1">
      <c r="C304" s="758" t="s">
        <v>1611</v>
      </c>
      <c r="D304" s="759"/>
      <c r="E304" s="760"/>
      <c r="F304" s="493" t="s">
        <v>1612</v>
      </c>
      <c r="G304" s="493"/>
      <c r="H304" s="493"/>
      <c r="I304" s="493"/>
      <c r="J304" s="493"/>
      <c r="K304" s="493"/>
      <c r="L304" s="493"/>
      <c r="M304" s="493"/>
      <c r="N304" s="493"/>
      <c r="O304" s="493"/>
      <c r="P304" s="493"/>
      <c r="Q304" s="493"/>
      <c r="R304" s="493"/>
      <c r="S304" s="493"/>
      <c r="T304" s="493"/>
      <c r="U304" s="493"/>
      <c r="V304" s="466">
        <v>3</v>
      </c>
      <c r="W304" s="467"/>
      <c r="X304" s="468"/>
      <c r="Y304" s="466">
        <v>0.69</v>
      </c>
      <c r="Z304" s="467"/>
      <c r="AA304" s="467"/>
      <c r="AB304" s="468"/>
      <c r="AC304" s="828">
        <v>0.31</v>
      </c>
      <c r="AD304" s="829"/>
      <c r="AE304" s="829"/>
      <c r="AF304" s="830"/>
      <c r="AG304" s="491">
        <v>0.13</v>
      </c>
      <c r="AH304" s="491"/>
      <c r="AI304" s="491"/>
      <c r="AJ304" s="491"/>
      <c r="AK304" s="491">
        <v>0</v>
      </c>
      <c r="AL304" s="491"/>
      <c r="AM304" s="491"/>
      <c r="AN304" s="491"/>
      <c r="AO304" s="491">
        <f>ROUND((Y304*AG304+AC304*AK304)*V304,2)</f>
        <v>0.27</v>
      </c>
      <c r="AP304" s="491"/>
      <c r="AQ304" s="491"/>
      <c r="AR304" s="492"/>
    </row>
    <row r="305" spans="3:44" ht="18" customHeight="1">
      <c r="C305" s="758" t="s">
        <v>1613</v>
      </c>
      <c r="D305" s="759"/>
      <c r="E305" s="760"/>
      <c r="F305" s="493" t="s">
        <v>1614</v>
      </c>
      <c r="G305" s="493"/>
      <c r="H305" s="493"/>
      <c r="I305" s="493"/>
      <c r="J305" s="493"/>
      <c r="K305" s="493"/>
      <c r="L305" s="493"/>
      <c r="M305" s="493"/>
      <c r="N305" s="493"/>
      <c r="O305" s="493"/>
      <c r="P305" s="493"/>
      <c r="Q305" s="493"/>
      <c r="R305" s="493"/>
      <c r="S305" s="493"/>
      <c r="T305" s="493"/>
      <c r="U305" s="493"/>
      <c r="V305" s="466">
        <v>2</v>
      </c>
      <c r="W305" s="467"/>
      <c r="X305" s="468"/>
      <c r="Y305" s="466">
        <v>1</v>
      </c>
      <c r="Z305" s="467"/>
      <c r="AA305" s="467"/>
      <c r="AB305" s="468"/>
      <c r="AC305" s="828">
        <v>0</v>
      </c>
      <c r="AD305" s="829"/>
      <c r="AE305" s="829"/>
      <c r="AF305" s="830"/>
      <c r="AG305" s="491">
        <v>14.46</v>
      </c>
      <c r="AH305" s="491"/>
      <c r="AI305" s="491"/>
      <c r="AJ305" s="491"/>
      <c r="AK305" s="491">
        <v>13.45</v>
      </c>
      <c r="AL305" s="491"/>
      <c r="AM305" s="491"/>
      <c r="AN305" s="491"/>
      <c r="AO305" s="491">
        <f>ROUND((Y305*AG305+AC305*AK305)*V305,2)</f>
        <v>28.92</v>
      </c>
      <c r="AP305" s="491"/>
      <c r="AQ305" s="491"/>
      <c r="AR305" s="492"/>
    </row>
    <row r="306" spans="3:44" ht="18" customHeight="1">
      <c r="C306" s="758" t="s">
        <v>1615</v>
      </c>
      <c r="D306" s="759"/>
      <c r="E306" s="760"/>
      <c r="F306" s="493" t="s">
        <v>1616</v>
      </c>
      <c r="G306" s="493"/>
      <c r="H306" s="493"/>
      <c r="I306" s="493"/>
      <c r="J306" s="493"/>
      <c r="K306" s="493"/>
      <c r="L306" s="493"/>
      <c r="M306" s="493"/>
      <c r="N306" s="493"/>
      <c r="O306" s="493"/>
      <c r="P306" s="493"/>
      <c r="Q306" s="493"/>
      <c r="R306" s="493"/>
      <c r="S306" s="493"/>
      <c r="T306" s="493"/>
      <c r="U306" s="493"/>
      <c r="V306" s="466">
        <v>1</v>
      </c>
      <c r="W306" s="467"/>
      <c r="X306" s="468"/>
      <c r="Y306" s="466">
        <v>1</v>
      </c>
      <c r="Z306" s="467"/>
      <c r="AA306" s="467"/>
      <c r="AB306" s="468"/>
      <c r="AC306" s="828">
        <v>0</v>
      </c>
      <c r="AD306" s="829"/>
      <c r="AE306" s="829"/>
      <c r="AF306" s="830"/>
      <c r="AG306" s="491">
        <v>29.61</v>
      </c>
      <c r="AH306" s="491"/>
      <c r="AI306" s="491"/>
      <c r="AJ306" s="491"/>
      <c r="AK306" s="491">
        <v>15.13</v>
      </c>
      <c r="AL306" s="491"/>
      <c r="AM306" s="491"/>
      <c r="AN306" s="491"/>
      <c r="AO306" s="491">
        <f>ROUND((Y306*AG306+AC306*AK306)*V306,2)</f>
        <v>29.61</v>
      </c>
      <c r="AP306" s="491"/>
      <c r="AQ306" s="491"/>
      <c r="AR306" s="492"/>
    </row>
    <row r="307" spans="3:44" ht="18" customHeight="1">
      <c r="C307" s="758"/>
      <c r="D307" s="759"/>
      <c r="E307" s="760"/>
      <c r="F307" s="796"/>
      <c r="G307" s="797"/>
      <c r="H307" s="797"/>
      <c r="I307" s="797"/>
      <c r="J307" s="797"/>
      <c r="K307" s="797"/>
      <c r="L307" s="797"/>
      <c r="M307" s="797"/>
      <c r="N307" s="797"/>
      <c r="O307" s="797"/>
      <c r="P307" s="797"/>
      <c r="Q307" s="797"/>
      <c r="R307" s="797"/>
      <c r="S307" s="797"/>
      <c r="T307" s="797"/>
      <c r="U307" s="798"/>
      <c r="V307" s="466"/>
      <c r="W307" s="467"/>
      <c r="X307" s="468"/>
      <c r="Y307" s="466"/>
      <c r="Z307" s="467"/>
      <c r="AA307" s="467"/>
      <c r="AB307" s="468"/>
      <c r="AC307" s="828"/>
      <c r="AD307" s="829"/>
      <c r="AE307" s="829"/>
      <c r="AF307" s="830"/>
      <c r="AG307" s="491"/>
      <c r="AH307" s="491"/>
      <c r="AI307" s="491"/>
      <c r="AJ307" s="491"/>
      <c r="AK307" s="491"/>
      <c r="AL307" s="491"/>
      <c r="AM307" s="491"/>
      <c r="AN307" s="491"/>
      <c r="AO307" s="491"/>
      <c r="AP307" s="491"/>
      <c r="AQ307" s="491"/>
      <c r="AR307" s="492"/>
    </row>
    <row r="308" spans="3:44" ht="18" customHeight="1">
      <c r="C308" s="758"/>
      <c r="D308" s="759"/>
      <c r="E308" s="760"/>
      <c r="F308" s="493"/>
      <c r="G308" s="493"/>
      <c r="H308" s="493"/>
      <c r="I308" s="493"/>
      <c r="J308" s="493"/>
      <c r="K308" s="493"/>
      <c r="L308" s="493"/>
      <c r="M308" s="493"/>
      <c r="N308" s="493"/>
      <c r="O308" s="493"/>
      <c r="P308" s="493"/>
      <c r="Q308" s="493"/>
      <c r="R308" s="493"/>
      <c r="S308" s="493"/>
      <c r="T308" s="493"/>
      <c r="U308" s="493"/>
      <c r="V308" s="466"/>
      <c r="W308" s="467"/>
      <c r="X308" s="468"/>
      <c r="Y308" s="466"/>
      <c r="Z308" s="467"/>
      <c r="AA308" s="467"/>
      <c r="AB308" s="468"/>
      <c r="AC308" s="828"/>
      <c r="AD308" s="829"/>
      <c r="AE308" s="829"/>
      <c r="AF308" s="830"/>
      <c r="AG308" s="491"/>
      <c r="AH308" s="491"/>
      <c r="AI308" s="491"/>
      <c r="AJ308" s="491"/>
      <c r="AK308" s="491"/>
      <c r="AL308" s="491"/>
      <c r="AM308" s="491"/>
      <c r="AN308" s="491"/>
      <c r="AO308" s="491"/>
      <c r="AP308" s="491"/>
      <c r="AQ308" s="491"/>
      <c r="AR308" s="492"/>
    </row>
    <row r="309" spans="3:44" ht="18" customHeight="1">
      <c r="C309" s="758"/>
      <c r="D309" s="759"/>
      <c r="E309" s="760"/>
      <c r="F309" s="796"/>
      <c r="G309" s="797"/>
      <c r="H309" s="797"/>
      <c r="I309" s="797"/>
      <c r="J309" s="797"/>
      <c r="K309" s="797"/>
      <c r="L309" s="797"/>
      <c r="M309" s="797"/>
      <c r="N309" s="797"/>
      <c r="O309" s="797"/>
      <c r="P309" s="797"/>
      <c r="Q309" s="797"/>
      <c r="R309" s="797"/>
      <c r="S309" s="797"/>
      <c r="T309" s="797"/>
      <c r="U309" s="798"/>
      <c r="V309" s="466"/>
      <c r="W309" s="467"/>
      <c r="X309" s="468"/>
      <c r="Y309" s="466"/>
      <c r="Z309" s="467"/>
      <c r="AA309" s="467"/>
      <c r="AB309" s="468"/>
      <c r="AC309" s="831"/>
      <c r="AD309" s="832"/>
      <c r="AE309" s="832"/>
      <c r="AF309" s="833"/>
      <c r="AG309" s="491"/>
      <c r="AH309" s="491"/>
      <c r="AI309" s="491"/>
      <c r="AJ309" s="491"/>
      <c r="AK309" s="491"/>
      <c r="AL309" s="491"/>
      <c r="AM309" s="491"/>
      <c r="AN309" s="491"/>
      <c r="AO309" s="491"/>
      <c r="AP309" s="491"/>
      <c r="AQ309" s="491"/>
      <c r="AR309" s="492"/>
    </row>
    <row r="310" spans="3:44" ht="18" customHeight="1">
      <c r="C310" s="758"/>
      <c r="D310" s="759"/>
      <c r="E310" s="760"/>
      <c r="F310" s="796"/>
      <c r="G310" s="797"/>
      <c r="H310" s="797"/>
      <c r="I310" s="797"/>
      <c r="J310" s="797"/>
      <c r="K310" s="797"/>
      <c r="L310" s="797"/>
      <c r="M310" s="797"/>
      <c r="N310" s="797"/>
      <c r="O310" s="797"/>
      <c r="P310" s="797"/>
      <c r="Q310" s="797"/>
      <c r="R310" s="797"/>
      <c r="S310" s="797"/>
      <c r="T310" s="797"/>
      <c r="U310" s="798"/>
      <c r="V310" s="466"/>
      <c r="W310" s="467"/>
      <c r="X310" s="468"/>
      <c r="Y310" s="466"/>
      <c r="Z310" s="467"/>
      <c r="AA310" s="467"/>
      <c r="AB310" s="468"/>
      <c r="AC310" s="828"/>
      <c r="AD310" s="829"/>
      <c r="AE310" s="829"/>
      <c r="AF310" s="830"/>
      <c r="AG310" s="466"/>
      <c r="AH310" s="467"/>
      <c r="AI310" s="467"/>
      <c r="AJ310" s="468"/>
      <c r="AK310" s="466"/>
      <c r="AL310" s="467"/>
      <c r="AM310" s="467"/>
      <c r="AN310" s="468"/>
      <c r="AO310" s="466"/>
      <c r="AP310" s="467"/>
      <c r="AQ310" s="467"/>
      <c r="AR310" s="823"/>
    </row>
    <row r="311" spans="3:44" ht="18" customHeight="1">
      <c r="C311" s="743"/>
      <c r="D311" s="744"/>
      <c r="E311" s="744"/>
      <c r="F311" s="744"/>
      <c r="G311" s="744"/>
      <c r="H311" s="744"/>
      <c r="I311" s="744"/>
      <c r="J311" s="744"/>
      <c r="K311" s="744"/>
      <c r="L311" s="744"/>
      <c r="M311" s="744"/>
      <c r="N311" s="744"/>
      <c r="O311" s="744"/>
      <c r="P311" s="744"/>
      <c r="Q311" s="744"/>
      <c r="R311" s="744"/>
      <c r="S311" s="744"/>
      <c r="T311" s="744"/>
      <c r="U311" s="744"/>
      <c r="V311" s="744"/>
      <c r="W311" s="744"/>
      <c r="X311" s="824"/>
      <c r="Y311" s="825" t="s">
        <v>74</v>
      </c>
      <c r="Z311" s="826"/>
      <c r="AA311" s="826"/>
      <c r="AB311" s="826"/>
      <c r="AC311" s="826"/>
      <c r="AD311" s="826"/>
      <c r="AE311" s="826"/>
      <c r="AF311" s="826"/>
      <c r="AG311" s="826"/>
      <c r="AH311" s="826"/>
      <c r="AI311" s="826"/>
      <c r="AJ311" s="826"/>
      <c r="AK311" s="826"/>
      <c r="AL311" s="826"/>
      <c r="AM311" s="826"/>
      <c r="AN311" s="827"/>
      <c r="AO311" s="477">
        <f>SUM(AO303:AR310)</f>
        <v>75.87</v>
      </c>
      <c r="AP311" s="746"/>
      <c r="AQ311" s="746"/>
      <c r="AR311" s="747"/>
    </row>
    <row r="313" spans="3:44" ht="18" customHeight="1">
      <c r="C313" s="794" t="s">
        <v>43</v>
      </c>
      <c r="D313" s="774"/>
      <c r="E313" s="775"/>
      <c r="F313" s="773" t="s">
        <v>75</v>
      </c>
      <c r="G313" s="774"/>
      <c r="H313" s="774"/>
      <c r="I313" s="774"/>
      <c r="J313" s="774"/>
      <c r="K313" s="774"/>
      <c r="L313" s="774"/>
      <c r="M313" s="774"/>
      <c r="N313" s="774"/>
      <c r="O313" s="774"/>
      <c r="P313" s="774"/>
      <c r="Q313" s="774"/>
      <c r="R313" s="774"/>
      <c r="S313" s="774"/>
      <c r="T313" s="774"/>
      <c r="U313" s="774"/>
      <c r="V313" s="774"/>
      <c r="W313" s="774"/>
      <c r="X313" s="774"/>
      <c r="Y313" s="774"/>
      <c r="Z313" s="774"/>
      <c r="AA313" s="774"/>
      <c r="AB313" s="775"/>
      <c r="AC313" s="773" t="s">
        <v>76</v>
      </c>
      <c r="AD313" s="774"/>
      <c r="AE313" s="774"/>
      <c r="AF313" s="775"/>
      <c r="AG313" s="773" t="s">
        <v>249</v>
      </c>
      <c r="AH313" s="774"/>
      <c r="AI313" s="774"/>
      <c r="AJ313" s="775"/>
      <c r="AK313" s="773" t="s">
        <v>77</v>
      </c>
      <c r="AL313" s="774"/>
      <c r="AM313" s="774"/>
      <c r="AN313" s="775"/>
      <c r="AO313" s="773" t="s">
        <v>71</v>
      </c>
      <c r="AP313" s="774"/>
      <c r="AQ313" s="774"/>
      <c r="AR313" s="779"/>
    </row>
    <row r="314" spans="3:44" ht="18" customHeight="1">
      <c r="C314" s="795"/>
      <c r="D314" s="777"/>
      <c r="E314" s="778"/>
      <c r="F314" s="776"/>
      <c r="G314" s="777"/>
      <c r="H314" s="777"/>
      <c r="I314" s="777"/>
      <c r="J314" s="777"/>
      <c r="K314" s="777"/>
      <c r="L314" s="777"/>
      <c r="M314" s="777"/>
      <c r="N314" s="777"/>
      <c r="O314" s="777"/>
      <c r="P314" s="777"/>
      <c r="Q314" s="777"/>
      <c r="R314" s="777"/>
      <c r="S314" s="777"/>
      <c r="T314" s="777"/>
      <c r="U314" s="777"/>
      <c r="V314" s="777"/>
      <c r="W314" s="777"/>
      <c r="X314" s="777"/>
      <c r="Y314" s="777"/>
      <c r="Z314" s="777"/>
      <c r="AA314" s="777"/>
      <c r="AB314" s="778"/>
      <c r="AC314" s="776"/>
      <c r="AD314" s="777"/>
      <c r="AE314" s="777"/>
      <c r="AF314" s="778"/>
      <c r="AG314" s="776"/>
      <c r="AH314" s="777"/>
      <c r="AI314" s="777"/>
      <c r="AJ314" s="778"/>
      <c r="AK314" s="776"/>
      <c r="AL314" s="777"/>
      <c r="AM314" s="777"/>
      <c r="AN314" s="778"/>
      <c r="AO314" s="776"/>
      <c r="AP314" s="777"/>
      <c r="AQ314" s="777"/>
      <c r="AR314" s="780"/>
    </row>
    <row r="315" spans="3:44" ht="18" customHeight="1">
      <c r="C315" s="781" t="s">
        <v>1383</v>
      </c>
      <c r="D315" s="782"/>
      <c r="E315" s="783"/>
      <c r="F315" s="493" t="s">
        <v>123</v>
      </c>
      <c r="G315" s="493"/>
      <c r="H315" s="493"/>
      <c r="I315" s="493"/>
      <c r="J315" s="493"/>
      <c r="K315" s="493"/>
      <c r="L315" s="493"/>
      <c r="M315" s="493"/>
      <c r="N315" s="493"/>
      <c r="O315" s="493"/>
      <c r="P315" s="493"/>
      <c r="Q315" s="493"/>
      <c r="R315" s="493"/>
      <c r="S315" s="493"/>
      <c r="T315" s="493"/>
      <c r="U315" s="493"/>
      <c r="V315" s="493"/>
      <c r="W315" s="493"/>
      <c r="X315" s="493"/>
      <c r="Y315" s="493"/>
      <c r="Z315" s="493"/>
      <c r="AA315" s="493"/>
      <c r="AB315" s="493"/>
      <c r="AC315" s="770"/>
      <c r="AD315" s="771"/>
      <c r="AE315" s="771"/>
      <c r="AF315" s="790"/>
      <c r="AG315" s="770">
        <v>1</v>
      </c>
      <c r="AH315" s="771"/>
      <c r="AI315" s="771"/>
      <c r="AJ315" s="790"/>
      <c r="AK315" s="449">
        <v>11.15</v>
      </c>
      <c r="AL315" s="449"/>
      <c r="AM315" s="449"/>
      <c r="AN315" s="449"/>
      <c r="AO315" s="491">
        <f>ROUND(AG315*AK315,2)</f>
        <v>11.15</v>
      </c>
      <c r="AP315" s="491"/>
      <c r="AQ315" s="491"/>
      <c r="AR315" s="492"/>
    </row>
    <row r="316" spans="3:44" ht="18" customHeight="1">
      <c r="C316" s="758" t="s">
        <v>1375</v>
      </c>
      <c r="D316" s="759"/>
      <c r="E316" s="760"/>
      <c r="F316" s="796" t="s">
        <v>106</v>
      </c>
      <c r="G316" s="797"/>
      <c r="H316" s="797"/>
      <c r="I316" s="797"/>
      <c r="J316" s="797"/>
      <c r="K316" s="797"/>
      <c r="L316" s="797"/>
      <c r="M316" s="797"/>
      <c r="N316" s="797"/>
      <c r="O316" s="797"/>
      <c r="P316" s="797"/>
      <c r="Q316" s="797"/>
      <c r="R316" s="797"/>
      <c r="S316" s="797"/>
      <c r="T316" s="797"/>
      <c r="U316" s="797"/>
      <c r="V316" s="797"/>
      <c r="W316" s="797"/>
      <c r="X316" s="797"/>
      <c r="Y316" s="797"/>
      <c r="Z316" s="797"/>
      <c r="AA316" s="797"/>
      <c r="AB316" s="798"/>
      <c r="AC316" s="740"/>
      <c r="AD316" s="741"/>
      <c r="AE316" s="741"/>
      <c r="AF316" s="757"/>
      <c r="AG316" s="740">
        <v>14</v>
      </c>
      <c r="AH316" s="741"/>
      <c r="AI316" s="741"/>
      <c r="AJ316" s="757"/>
      <c r="AK316" s="449">
        <v>7.9</v>
      </c>
      <c r="AL316" s="449"/>
      <c r="AM316" s="449"/>
      <c r="AN316" s="449"/>
      <c r="AO316" s="491">
        <f>ROUND(AG316*AK316,2)</f>
        <v>110.6</v>
      </c>
      <c r="AP316" s="491"/>
      <c r="AQ316" s="491"/>
      <c r="AR316" s="492"/>
    </row>
    <row r="317" spans="3:44" ht="18" customHeight="1">
      <c r="C317" s="758"/>
      <c r="D317" s="759"/>
      <c r="E317" s="760"/>
      <c r="F317" s="796"/>
      <c r="G317" s="797"/>
      <c r="H317" s="797"/>
      <c r="I317" s="797"/>
      <c r="J317" s="797"/>
      <c r="K317" s="797"/>
      <c r="L317" s="797"/>
      <c r="M317" s="797"/>
      <c r="N317" s="797"/>
      <c r="O317" s="797"/>
      <c r="P317" s="797"/>
      <c r="Q317" s="797"/>
      <c r="R317" s="797"/>
      <c r="S317" s="797"/>
      <c r="T317" s="797"/>
      <c r="U317" s="797"/>
      <c r="V317" s="797"/>
      <c r="W317" s="797"/>
      <c r="X317" s="797"/>
      <c r="Y317" s="797"/>
      <c r="Z317" s="797"/>
      <c r="AA317" s="797"/>
      <c r="AB317" s="798"/>
      <c r="AC317" s="740"/>
      <c r="AD317" s="741"/>
      <c r="AE317" s="741"/>
      <c r="AF317" s="757"/>
      <c r="AG317" s="740"/>
      <c r="AH317" s="741"/>
      <c r="AI317" s="741"/>
      <c r="AJ317" s="757"/>
      <c r="AK317" s="449"/>
      <c r="AL317" s="449"/>
      <c r="AM317" s="449"/>
      <c r="AN317" s="449"/>
      <c r="AO317" s="491"/>
      <c r="AP317" s="491"/>
      <c r="AQ317" s="491"/>
      <c r="AR317" s="492"/>
    </row>
    <row r="318" spans="3:44" ht="18" customHeight="1">
      <c r="C318" s="758"/>
      <c r="D318" s="759"/>
      <c r="E318" s="760"/>
      <c r="F318" s="796"/>
      <c r="G318" s="797"/>
      <c r="H318" s="797"/>
      <c r="I318" s="797"/>
      <c r="J318" s="797"/>
      <c r="K318" s="797"/>
      <c r="L318" s="797"/>
      <c r="M318" s="797"/>
      <c r="N318" s="797"/>
      <c r="O318" s="797"/>
      <c r="P318" s="797"/>
      <c r="Q318" s="797"/>
      <c r="R318" s="797"/>
      <c r="S318" s="797"/>
      <c r="T318" s="797"/>
      <c r="U318" s="797"/>
      <c r="V318" s="797"/>
      <c r="W318" s="797"/>
      <c r="X318" s="797"/>
      <c r="Y318" s="797"/>
      <c r="Z318" s="797"/>
      <c r="AA318" s="797"/>
      <c r="AB318" s="798"/>
      <c r="AC318" s="740"/>
      <c r="AD318" s="741"/>
      <c r="AE318" s="741"/>
      <c r="AF318" s="757"/>
      <c r="AG318" s="740"/>
      <c r="AH318" s="741"/>
      <c r="AI318" s="741"/>
      <c r="AJ318" s="757"/>
      <c r="AK318" s="449"/>
      <c r="AL318" s="449"/>
      <c r="AM318" s="449"/>
      <c r="AN318" s="449"/>
      <c r="AO318" s="491"/>
      <c r="AP318" s="491"/>
      <c r="AQ318" s="491"/>
      <c r="AR318" s="492"/>
    </row>
    <row r="319" spans="3:44" ht="18" customHeight="1">
      <c r="C319" s="758"/>
      <c r="D319" s="759"/>
      <c r="E319" s="760"/>
      <c r="F319" s="796"/>
      <c r="G319" s="797"/>
      <c r="H319" s="797"/>
      <c r="I319" s="797"/>
      <c r="J319" s="797"/>
      <c r="K319" s="797"/>
      <c r="L319" s="797"/>
      <c r="M319" s="797"/>
      <c r="N319" s="797"/>
      <c r="O319" s="797"/>
      <c r="P319" s="797"/>
      <c r="Q319" s="797"/>
      <c r="R319" s="797"/>
      <c r="S319" s="797"/>
      <c r="T319" s="797"/>
      <c r="U319" s="797"/>
      <c r="V319" s="797"/>
      <c r="W319" s="797"/>
      <c r="X319" s="797"/>
      <c r="Y319" s="797"/>
      <c r="Z319" s="797"/>
      <c r="AA319" s="797"/>
      <c r="AB319" s="798"/>
      <c r="AC319" s="740"/>
      <c r="AD319" s="741"/>
      <c r="AE319" s="741"/>
      <c r="AF319" s="757"/>
      <c r="AG319" s="740"/>
      <c r="AH319" s="741"/>
      <c r="AI319" s="741"/>
      <c r="AJ319" s="757"/>
      <c r="AK319" s="740"/>
      <c r="AL319" s="741"/>
      <c r="AM319" s="741"/>
      <c r="AN319" s="757"/>
      <c r="AO319" s="466"/>
      <c r="AP319" s="467"/>
      <c r="AQ319" s="467"/>
      <c r="AR319" s="823"/>
    </row>
    <row r="320" spans="3:44" ht="18" customHeight="1">
      <c r="C320" s="758"/>
      <c r="D320" s="759"/>
      <c r="E320" s="760"/>
      <c r="F320" s="796"/>
      <c r="G320" s="797"/>
      <c r="H320" s="797"/>
      <c r="I320" s="797"/>
      <c r="J320" s="797"/>
      <c r="K320" s="797"/>
      <c r="L320" s="797"/>
      <c r="M320" s="797"/>
      <c r="N320" s="797"/>
      <c r="O320" s="797"/>
      <c r="P320" s="797"/>
      <c r="Q320" s="797"/>
      <c r="R320" s="797"/>
      <c r="S320" s="797"/>
      <c r="T320" s="797"/>
      <c r="U320" s="797"/>
      <c r="V320" s="797"/>
      <c r="W320" s="797"/>
      <c r="X320" s="797"/>
      <c r="Y320" s="797"/>
      <c r="Z320" s="797"/>
      <c r="AA320" s="797"/>
      <c r="AB320" s="798"/>
      <c r="AC320" s="740"/>
      <c r="AD320" s="741"/>
      <c r="AE320" s="741"/>
      <c r="AF320" s="757"/>
      <c r="AG320" s="740"/>
      <c r="AH320" s="741"/>
      <c r="AI320" s="741"/>
      <c r="AJ320" s="757"/>
      <c r="AK320" s="740"/>
      <c r="AL320" s="741"/>
      <c r="AM320" s="741"/>
      <c r="AN320" s="757"/>
      <c r="AO320" s="466"/>
      <c r="AP320" s="467"/>
      <c r="AQ320" s="467"/>
      <c r="AR320" s="823"/>
    </row>
    <row r="321" spans="3:44" ht="18" customHeight="1">
      <c r="C321" s="758"/>
      <c r="D321" s="759"/>
      <c r="E321" s="760"/>
      <c r="F321" s="796"/>
      <c r="G321" s="797"/>
      <c r="H321" s="797"/>
      <c r="I321" s="797"/>
      <c r="J321" s="797"/>
      <c r="K321" s="797"/>
      <c r="L321" s="797"/>
      <c r="M321" s="797"/>
      <c r="N321" s="797"/>
      <c r="O321" s="797"/>
      <c r="P321" s="797"/>
      <c r="Q321" s="797"/>
      <c r="R321" s="797"/>
      <c r="S321" s="797"/>
      <c r="T321" s="797"/>
      <c r="U321" s="797"/>
      <c r="V321" s="797"/>
      <c r="W321" s="797"/>
      <c r="X321" s="797"/>
      <c r="Y321" s="797"/>
      <c r="Z321" s="797"/>
      <c r="AA321" s="797"/>
      <c r="AB321" s="798"/>
      <c r="AC321" s="740"/>
      <c r="AD321" s="741"/>
      <c r="AE321" s="741"/>
      <c r="AF321" s="757"/>
      <c r="AG321" s="740"/>
      <c r="AH321" s="741"/>
      <c r="AI321" s="741"/>
      <c r="AJ321" s="757"/>
      <c r="AK321" s="740"/>
      <c r="AL321" s="741"/>
      <c r="AM321" s="741"/>
      <c r="AN321" s="757"/>
      <c r="AO321" s="466"/>
      <c r="AP321" s="467"/>
      <c r="AQ321" s="467"/>
      <c r="AR321" s="823"/>
    </row>
    <row r="322" spans="3:44" ht="18" customHeight="1">
      <c r="C322" s="758"/>
      <c r="D322" s="759"/>
      <c r="E322" s="760"/>
      <c r="F322" s="796"/>
      <c r="G322" s="797"/>
      <c r="H322" s="797"/>
      <c r="I322" s="797"/>
      <c r="J322" s="797"/>
      <c r="K322" s="797"/>
      <c r="L322" s="797"/>
      <c r="M322" s="797"/>
      <c r="N322" s="797"/>
      <c r="O322" s="797"/>
      <c r="P322" s="797"/>
      <c r="Q322" s="797"/>
      <c r="R322" s="797"/>
      <c r="S322" s="797"/>
      <c r="T322" s="797"/>
      <c r="U322" s="797"/>
      <c r="V322" s="797"/>
      <c r="W322" s="797"/>
      <c r="X322" s="797"/>
      <c r="Y322" s="797"/>
      <c r="Z322" s="797"/>
      <c r="AA322" s="797"/>
      <c r="AB322" s="798"/>
      <c r="AC322" s="740"/>
      <c r="AD322" s="741"/>
      <c r="AE322" s="741"/>
      <c r="AF322" s="757"/>
      <c r="AG322" s="740"/>
      <c r="AH322" s="741"/>
      <c r="AI322" s="741"/>
      <c r="AJ322" s="757"/>
      <c r="AK322" s="740"/>
      <c r="AL322" s="741"/>
      <c r="AM322" s="741"/>
      <c r="AN322" s="757"/>
      <c r="AO322" s="466"/>
      <c r="AP322" s="467"/>
      <c r="AQ322" s="467"/>
      <c r="AR322" s="823"/>
    </row>
    <row r="323" spans="3:44" ht="18" customHeight="1">
      <c r="C323" s="814"/>
      <c r="D323" s="815"/>
      <c r="E323" s="815"/>
      <c r="F323" s="815"/>
      <c r="G323" s="815"/>
      <c r="H323" s="815"/>
      <c r="I323" s="815"/>
      <c r="J323" s="815"/>
      <c r="K323" s="815"/>
      <c r="L323" s="815"/>
      <c r="M323" s="815"/>
      <c r="N323" s="815"/>
      <c r="O323" s="815"/>
      <c r="P323" s="815"/>
      <c r="Q323" s="815"/>
      <c r="R323" s="815"/>
      <c r="S323" s="815"/>
      <c r="T323" s="815"/>
      <c r="U323" s="815"/>
      <c r="V323" s="815"/>
      <c r="W323" s="815"/>
      <c r="X323" s="815"/>
      <c r="Y323" s="816" t="s">
        <v>78</v>
      </c>
      <c r="Z323" s="816"/>
      <c r="AA323" s="816"/>
      <c r="AB323" s="816"/>
      <c r="AC323" s="816"/>
      <c r="AD323" s="816"/>
      <c r="AE323" s="816"/>
      <c r="AF323" s="483"/>
      <c r="AG323" s="817" t="s">
        <v>267</v>
      </c>
      <c r="AH323" s="818"/>
      <c r="AI323" s="818"/>
      <c r="AJ323" s="819"/>
      <c r="AK323" s="466">
        <f>SUM(AO315:AR322)</f>
        <v>121.75</v>
      </c>
      <c r="AL323" s="467"/>
      <c r="AM323" s="467"/>
      <c r="AN323" s="468"/>
      <c r="AO323" s="820">
        <f>ROUND(AG323*AK323,2)</f>
        <v>24.97</v>
      </c>
      <c r="AP323" s="821"/>
      <c r="AQ323" s="821"/>
      <c r="AR323" s="822"/>
    </row>
    <row r="324" spans="3:44" ht="18" customHeight="1">
      <c r="C324" s="743"/>
      <c r="D324" s="744"/>
      <c r="E324" s="744"/>
      <c r="F324" s="744"/>
      <c r="G324" s="744"/>
      <c r="H324" s="744"/>
      <c r="I324" s="744"/>
      <c r="J324" s="744"/>
      <c r="K324" s="744"/>
      <c r="L324" s="744"/>
      <c r="M324" s="744"/>
      <c r="N324" s="744"/>
      <c r="O324" s="744"/>
      <c r="P324" s="744"/>
      <c r="Q324" s="744"/>
      <c r="R324" s="744"/>
      <c r="S324" s="744"/>
      <c r="T324" s="744"/>
      <c r="U324" s="744"/>
      <c r="V324" s="744"/>
      <c r="W324" s="744"/>
      <c r="X324" s="744"/>
      <c r="Y324" s="745" t="s">
        <v>79</v>
      </c>
      <c r="Z324" s="745"/>
      <c r="AA324" s="745"/>
      <c r="AB324" s="745"/>
      <c r="AC324" s="745"/>
      <c r="AD324" s="745"/>
      <c r="AE324" s="745"/>
      <c r="AF324" s="745"/>
      <c r="AG324" s="745"/>
      <c r="AH324" s="745"/>
      <c r="AI324" s="745"/>
      <c r="AJ324" s="745"/>
      <c r="AK324" s="745"/>
      <c r="AL324" s="745"/>
      <c r="AM324" s="745"/>
      <c r="AN324" s="430"/>
      <c r="AO324" s="477">
        <f>SUM(AO315:AR323)</f>
        <v>146.72</v>
      </c>
      <c r="AP324" s="746"/>
      <c r="AQ324" s="746"/>
      <c r="AR324" s="747"/>
    </row>
    <row r="326" spans="3:44" ht="18" customHeight="1">
      <c r="C326" s="802"/>
      <c r="D326" s="803"/>
      <c r="E326" s="803"/>
      <c r="F326" s="803"/>
      <c r="G326" s="803"/>
      <c r="H326" s="803"/>
      <c r="I326" s="803"/>
      <c r="J326" s="803"/>
      <c r="K326" s="803"/>
      <c r="L326" s="803"/>
      <c r="M326" s="803"/>
      <c r="N326" s="803"/>
      <c r="O326" s="803"/>
      <c r="P326" s="803"/>
      <c r="Q326" s="803"/>
      <c r="R326" s="803"/>
      <c r="S326" s="803"/>
      <c r="T326" s="803"/>
      <c r="U326" s="803"/>
      <c r="V326" s="803"/>
      <c r="W326" s="803"/>
      <c r="X326" s="803"/>
      <c r="Y326" s="804" t="s">
        <v>80</v>
      </c>
      <c r="Z326" s="805"/>
      <c r="AA326" s="805"/>
      <c r="AB326" s="805"/>
      <c r="AC326" s="805"/>
      <c r="AD326" s="805"/>
      <c r="AE326" s="805"/>
      <c r="AF326" s="805"/>
      <c r="AG326" s="805"/>
      <c r="AH326" s="805"/>
      <c r="AI326" s="805"/>
      <c r="AJ326" s="805"/>
      <c r="AK326" s="805"/>
      <c r="AL326" s="805"/>
      <c r="AM326" s="805"/>
      <c r="AN326" s="806"/>
      <c r="AO326" s="807">
        <f>AO311+AO324</f>
        <v>222.59</v>
      </c>
      <c r="AP326" s="808"/>
      <c r="AQ326" s="808"/>
      <c r="AR326" s="809"/>
    </row>
    <row r="327" spans="3:44" ht="18" customHeight="1">
      <c r="C327" s="810" t="s">
        <v>81</v>
      </c>
      <c r="D327" s="745"/>
      <c r="E327" s="745"/>
      <c r="F327" s="745"/>
      <c r="G327" s="745"/>
      <c r="H327" s="745"/>
      <c r="I327" s="745"/>
      <c r="J327" s="745"/>
      <c r="K327" s="745"/>
      <c r="L327" s="745"/>
      <c r="M327" s="745"/>
      <c r="N327" s="745"/>
      <c r="O327" s="745"/>
      <c r="P327" s="430"/>
      <c r="Q327" s="477">
        <v>2.5</v>
      </c>
      <c r="R327" s="746"/>
      <c r="S327" s="746"/>
      <c r="T327" s="746"/>
      <c r="U327" s="746"/>
      <c r="V327" s="745" t="s">
        <v>245</v>
      </c>
      <c r="W327" s="745"/>
      <c r="X327" s="430"/>
      <c r="Y327" s="804" t="s">
        <v>82</v>
      </c>
      <c r="Z327" s="805"/>
      <c r="AA327" s="805"/>
      <c r="AB327" s="805"/>
      <c r="AC327" s="805"/>
      <c r="AD327" s="805"/>
      <c r="AE327" s="805"/>
      <c r="AF327" s="805"/>
      <c r="AG327" s="805"/>
      <c r="AH327" s="805"/>
      <c r="AI327" s="805"/>
      <c r="AJ327" s="805"/>
      <c r="AK327" s="805"/>
      <c r="AL327" s="805"/>
      <c r="AM327" s="805"/>
      <c r="AN327" s="806"/>
      <c r="AO327" s="811">
        <f>ROUND(AO326/Q327,2)</f>
        <v>89.04</v>
      </c>
      <c r="AP327" s="812"/>
      <c r="AQ327" s="812"/>
      <c r="AR327" s="813"/>
    </row>
    <row r="329" spans="3:44" ht="18" customHeight="1">
      <c r="C329" s="794" t="s">
        <v>43</v>
      </c>
      <c r="D329" s="774"/>
      <c r="E329" s="775"/>
      <c r="F329" s="773" t="s">
        <v>83</v>
      </c>
      <c r="G329" s="774"/>
      <c r="H329" s="774"/>
      <c r="I329" s="774"/>
      <c r="J329" s="774"/>
      <c r="K329" s="774"/>
      <c r="L329" s="774"/>
      <c r="M329" s="774"/>
      <c r="N329" s="774"/>
      <c r="O329" s="774"/>
      <c r="P329" s="774"/>
      <c r="Q329" s="774"/>
      <c r="R329" s="774"/>
      <c r="S329" s="774"/>
      <c r="T329" s="774"/>
      <c r="U329" s="774"/>
      <c r="V329" s="774"/>
      <c r="W329" s="774"/>
      <c r="X329" s="774"/>
      <c r="Y329" s="774"/>
      <c r="Z329" s="774"/>
      <c r="AA329" s="774"/>
      <c r="AB329" s="775"/>
      <c r="AC329" s="773" t="s">
        <v>84</v>
      </c>
      <c r="AD329" s="774"/>
      <c r="AE329" s="774"/>
      <c r="AF329" s="775"/>
      <c r="AG329" s="773" t="s">
        <v>85</v>
      </c>
      <c r="AH329" s="774"/>
      <c r="AI329" s="774"/>
      <c r="AJ329" s="775"/>
      <c r="AK329" s="773" t="s">
        <v>86</v>
      </c>
      <c r="AL329" s="774"/>
      <c r="AM329" s="774"/>
      <c r="AN329" s="775"/>
      <c r="AO329" s="773" t="s">
        <v>87</v>
      </c>
      <c r="AP329" s="774"/>
      <c r="AQ329" s="774"/>
      <c r="AR329" s="779"/>
    </row>
    <row r="330" spans="3:44" ht="18" customHeight="1">
      <c r="C330" s="795"/>
      <c r="D330" s="777"/>
      <c r="E330" s="778"/>
      <c r="F330" s="776"/>
      <c r="G330" s="777"/>
      <c r="H330" s="777"/>
      <c r="I330" s="777"/>
      <c r="J330" s="777"/>
      <c r="K330" s="777"/>
      <c r="L330" s="777"/>
      <c r="M330" s="777"/>
      <c r="N330" s="777"/>
      <c r="O330" s="777"/>
      <c r="P330" s="777"/>
      <c r="Q330" s="777"/>
      <c r="R330" s="777"/>
      <c r="S330" s="777"/>
      <c r="T330" s="777"/>
      <c r="U330" s="777"/>
      <c r="V330" s="777"/>
      <c r="W330" s="777"/>
      <c r="X330" s="777"/>
      <c r="Y330" s="777"/>
      <c r="Z330" s="777"/>
      <c r="AA330" s="777"/>
      <c r="AB330" s="778"/>
      <c r="AC330" s="776"/>
      <c r="AD330" s="777"/>
      <c r="AE330" s="777"/>
      <c r="AF330" s="778"/>
      <c r="AG330" s="776"/>
      <c r="AH330" s="777"/>
      <c r="AI330" s="777"/>
      <c r="AJ330" s="778"/>
      <c r="AK330" s="776"/>
      <c r="AL330" s="777"/>
      <c r="AM330" s="777"/>
      <c r="AN330" s="778"/>
      <c r="AO330" s="776"/>
      <c r="AP330" s="777"/>
      <c r="AQ330" s="777"/>
      <c r="AR330" s="780"/>
    </row>
    <row r="331" spans="3:44" ht="18" customHeight="1">
      <c r="C331" s="758" t="s">
        <v>1605</v>
      </c>
      <c r="D331" s="759"/>
      <c r="E331" s="760"/>
      <c r="F331" s="796" t="s">
        <v>1606</v>
      </c>
      <c r="G331" s="797"/>
      <c r="H331" s="797"/>
      <c r="I331" s="797"/>
      <c r="J331" s="797"/>
      <c r="K331" s="797"/>
      <c r="L331" s="797"/>
      <c r="M331" s="797"/>
      <c r="N331" s="797"/>
      <c r="O331" s="797"/>
      <c r="P331" s="797"/>
      <c r="Q331" s="797"/>
      <c r="R331" s="797"/>
      <c r="S331" s="797"/>
      <c r="T331" s="797"/>
      <c r="U331" s="797"/>
      <c r="V331" s="797"/>
      <c r="W331" s="797"/>
      <c r="X331" s="797"/>
      <c r="Y331" s="797"/>
      <c r="Z331" s="797"/>
      <c r="AA331" s="797"/>
      <c r="AB331" s="798"/>
      <c r="AC331" s="799" t="s">
        <v>186</v>
      </c>
      <c r="AD331" s="800"/>
      <c r="AE331" s="800"/>
      <c r="AF331" s="801"/>
      <c r="AG331" s="466">
        <v>55</v>
      </c>
      <c r="AH331" s="467"/>
      <c r="AI331" s="467"/>
      <c r="AJ331" s="468"/>
      <c r="AK331" s="737">
        <v>0.93</v>
      </c>
      <c r="AL331" s="738"/>
      <c r="AM331" s="738"/>
      <c r="AN331" s="739"/>
      <c r="AO331" s="491">
        <f>ROUND(AG331*AK331,2)</f>
        <v>51.15</v>
      </c>
      <c r="AP331" s="491"/>
      <c r="AQ331" s="491"/>
      <c r="AR331" s="492"/>
    </row>
    <row r="332" spans="3:44" ht="18" customHeight="1">
      <c r="C332" s="758" t="s">
        <v>1605</v>
      </c>
      <c r="D332" s="759"/>
      <c r="E332" s="760"/>
      <c r="F332" s="796" t="s">
        <v>1607</v>
      </c>
      <c r="G332" s="797"/>
      <c r="H332" s="797"/>
      <c r="I332" s="797"/>
      <c r="J332" s="797"/>
      <c r="K332" s="797"/>
      <c r="L332" s="797"/>
      <c r="M332" s="797"/>
      <c r="N332" s="797"/>
      <c r="O332" s="797"/>
      <c r="P332" s="797"/>
      <c r="Q332" s="797"/>
      <c r="R332" s="797"/>
      <c r="S332" s="797"/>
      <c r="T332" s="797"/>
      <c r="U332" s="797"/>
      <c r="V332" s="797"/>
      <c r="W332" s="797"/>
      <c r="X332" s="797"/>
      <c r="Y332" s="797"/>
      <c r="Z332" s="797"/>
      <c r="AA332" s="797"/>
      <c r="AB332" s="798"/>
      <c r="AC332" s="799" t="s">
        <v>186</v>
      </c>
      <c r="AD332" s="800"/>
      <c r="AE332" s="800"/>
      <c r="AF332" s="801"/>
      <c r="AG332" s="466">
        <v>40</v>
      </c>
      <c r="AH332" s="467"/>
      <c r="AI332" s="467"/>
      <c r="AJ332" s="468"/>
      <c r="AK332" s="737">
        <v>0.84</v>
      </c>
      <c r="AL332" s="738"/>
      <c r="AM332" s="738"/>
      <c r="AN332" s="739"/>
      <c r="AO332" s="491">
        <f>ROUND(AG332*AK332,2)</f>
        <v>33.6</v>
      </c>
      <c r="AP332" s="491"/>
      <c r="AQ332" s="491"/>
      <c r="AR332" s="492"/>
    </row>
    <row r="333" spans="3:44" ht="18" customHeight="1">
      <c r="C333" s="758" t="s">
        <v>1395</v>
      </c>
      <c r="D333" s="759"/>
      <c r="E333" s="760"/>
      <c r="F333" s="796" t="s">
        <v>410</v>
      </c>
      <c r="G333" s="797"/>
      <c r="H333" s="797"/>
      <c r="I333" s="797"/>
      <c r="J333" s="797"/>
      <c r="K333" s="797"/>
      <c r="L333" s="797"/>
      <c r="M333" s="797"/>
      <c r="N333" s="797"/>
      <c r="O333" s="797"/>
      <c r="P333" s="797"/>
      <c r="Q333" s="797"/>
      <c r="R333" s="797"/>
      <c r="S333" s="797"/>
      <c r="T333" s="797"/>
      <c r="U333" s="797"/>
      <c r="V333" s="797"/>
      <c r="W333" s="797"/>
      <c r="X333" s="797"/>
      <c r="Y333" s="797"/>
      <c r="Z333" s="797"/>
      <c r="AA333" s="797"/>
      <c r="AB333" s="798"/>
      <c r="AC333" s="799" t="s">
        <v>246</v>
      </c>
      <c r="AD333" s="800"/>
      <c r="AE333" s="800"/>
      <c r="AF333" s="801"/>
      <c r="AG333" s="466">
        <f>VLOOKUP(C333,[4]MATERIAL!A$1:D$65536,4,FALSE)</f>
        <v>0.34399999999999997</v>
      </c>
      <c r="AH333" s="467"/>
      <c r="AI333" s="467"/>
      <c r="AJ333" s="468"/>
      <c r="AK333" s="737">
        <v>270</v>
      </c>
      <c r="AL333" s="738"/>
      <c r="AM333" s="738"/>
      <c r="AN333" s="739"/>
      <c r="AO333" s="491">
        <f>ROUND(AG333*AK333,2)</f>
        <v>92.88</v>
      </c>
      <c r="AP333" s="491"/>
      <c r="AQ333" s="491"/>
      <c r="AR333" s="492"/>
    </row>
    <row r="334" spans="3:44" ht="18" customHeight="1">
      <c r="C334" s="758"/>
      <c r="D334" s="759"/>
      <c r="E334" s="760"/>
      <c r="F334" s="796"/>
      <c r="G334" s="797"/>
      <c r="H334" s="797"/>
      <c r="I334" s="797"/>
      <c r="J334" s="797"/>
      <c r="K334" s="797"/>
      <c r="L334" s="797"/>
      <c r="M334" s="797"/>
      <c r="N334" s="797"/>
      <c r="O334" s="797"/>
      <c r="P334" s="797"/>
      <c r="Q334" s="797"/>
      <c r="R334" s="797"/>
      <c r="S334" s="797"/>
      <c r="T334" s="797"/>
      <c r="U334" s="797"/>
      <c r="V334" s="797"/>
      <c r="W334" s="797"/>
      <c r="X334" s="797"/>
      <c r="Y334" s="797"/>
      <c r="Z334" s="797"/>
      <c r="AA334" s="797"/>
      <c r="AB334" s="798"/>
      <c r="AC334" s="799"/>
      <c r="AD334" s="800"/>
      <c r="AE334" s="800"/>
      <c r="AF334" s="801"/>
      <c r="AG334" s="466"/>
      <c r="AH334" s="467"/>
      <c r="AI334" s="467"/>
      <c r="AJ334" s="468"/>
      <c r="AK334" s="737"/>
      <c r="AL334" s="738"/>
      <c r="AM334" s="738"/>
      <c r="AN334" s="739"/>
      <c r="AO334" s="491"/>
      <c r="AP334" s="491"/>
      <c r="AQ334" s="491"/>
      <c r="AR334" s="492"/>
    </row>
    <row r="335" spans="3:44" ht="18" customHeight="1">
      <c r="C335" s="758"/>
      <c r="D335" s="759"/>
      <c r="E335" s="760"/>
      <c r="F335" s="796"/>
      <c r="G335" s="797"/>
      <c r="H335" s="797"/>
      <c r="I335" s="797"/>
      <c r="J335" s="797"/>
      <c r="K335" s="797"/>
      <c r="L335" s="797"/>
      <c r="M335" s="797"/>
      <c r="N335" s="797"/>
      <c r="O335" s="797"/>
      <c r="P335" s="797"/>
      <c r="Q335" s="797"/>
      <c r="R335" s="797"/>
      <c r="S335" s="797"/>
      <c r="T335" s="797"/>
      <c r="U335" s="797"/>
      <c r="V335" s="797"/>
      <c r="W335" s="797"/>
      <c r="X335" s="797"/>
      <c r="Y335" s="797"/>
      <c r="Z335" s="797"/>
      <c r="AA335" s="797"/>
      <c r="AB335" s="798"/>
      <c r="AC335" s="799"/>
      <c r="AD335" s="800"/>
      <c r="AE335" s="800"/>
      <c r="AF335" s="801"/>
      <c r="AG335" s="466"/>
      <c r="AH335" s="467"/>
      <c r="AI335" s="467"/>
      <c r="AJ335" s="468"/>
      <c r="AK335" s="737"/>
      <c r="AL335" s="738"/>
      <c r="AM335" s="738"/>
      <c r="AN335" s="739"/>
      <c r="AO335" s="491"/>
      <c r="AP335" s="491"/>
      <c r="AQ335" s="491"/>
      <c r="AR335" s="492"/>
    </row>
    <row r="336" spans="3:44" ht="18" customHeight="1">
      <c r="C336" s="758"/>
      <c r="D336" s="759"/>
      <c r="E336" s="760"/>
      <c r="F336" s="796"/>
      <c r="G336" s="797"/>
      <c r="H336" s="797"/>
      <c r="I336" s="797"/>
      <c r="J336" s="797"/>
      <c r="K336" s="797"/>
      <c r="L336" s="797"/>
      <c r="M336" s="797"/>
      <c r="N336" s="797"/>
      <c r="O336" s="797"/>
      <c r="P336" s="797"/>
      <c r="Q336" s="797"/>
      <c r="R336" s="797"/>
      <c r="S336" s="797"/>
      <c r="T336" s="797"/>
      <c r="U336" s="797"/>
      <c r="V336" s="797"/>
      <c r="W336" s="797"/>
      <c r="X336" s="797"/>
      <c r="Y336" s="797"/>
      <c r="Z336" s="797"/>
      <c r="AA336" s="797"/>
      <c r="AB336" s="798"/>
      <c r="AC336" s="799"/>
      <c r="AD336" s="800"/>
      <c r="AE336" s="800"/>
      <c r="AF336" s="801"/>
      <c r="AG336" s="466"/>
      <c r="AH336" s="467"/>
      <c r="AI336" s="467"/>
      <c r="AJ336" s="468"/>
      <c r="AK336" s="737"/>
      <c r="AL336" s="738"/>
      <c r="AM336" s="738"/>
      <c r="AN336" s="739"/>
      <c r="AO336" s="491"/>
      <c r="AP336" s="491"/>
      <c r="AQ336" s="491"/>
      <c r="AR336" s="492"/>
    </row>
    <row r="337" spans="3:44" ht="18" customHeight="1">
      <c r="C337" s="758"/>
      <c r="D337" s="759"/>
      <c r="E337" s="760"/>
      <c r="F337" s="796"/>
      <c r="G337" s="797"/>
      <c r="H337" s="797"/>
      <c r="I337" s="797"/>
      <c r="J337" s="797"/>
      <c r="K337" s="797"/>
      <c r="L337" s="797"/>
      <c r="M337" s="797"/>
      <c r="N337" s="797"/>
      <c r="O337" s="797"/>
      <c r="P337" s="797"/>
      <c r="Q337" s="797"/>
      <c r="R337" s="797"/>
      <c r="S337" s="797"/>
      <c r="T337" s="797"/>
      <c r="U337" s="797"/>
      <c r="V337" s="797"/>
      <c r="W337" s="797"/>
      <c r="X337" s="797"/>
      <c r="Y337" s="797"/>
      <c r="Z337" s="797"/>
      <c r="AA337" s="797"/>
      <c r="AB337" s="798"/>
      <c r="AC337" s="799"/>
      <c r="AD337" s="800"/>
      <c r="AE337" s="800"/>
      <c r="AF337" s="801"/>
      <c r="AG337" s="466"/>
      <c r="AH337" s="467"/>
      <c r="AI337" s="467"/>
      <c r="AJ337" s="468"/>
      <c r="AK337" s="737"/>
      <c r="AL337" s="738"/>
      <c r="AM337" s="738"/>
      <c r="AN337" s="739"/>
      <c r="AO337" s="491"/>
      <c r="AP337" s="491"/>
      <c r="AQ337" s="491"/>
      <c r="AR337" s="492"/>
    </row>
    <row r="338" spans="3:44" ht="18" customHeight="1">
      <c r="C338" s="758"/>
      <c r="D338" s="759"/>
      <c r="E338" s="760"/>
      <c r="F338" s="796"/>
      <c r="G338" s="797"/>
      <c r="H338" s="797"/>
      <c r="I338" s="797"/>
      <c r="J338" s="797"/>
      <c r="K338" s="797"/>
      <c r="L338" s="797"/>
      <c r="M338" s="797"/>
      <c r="N338" s="797"/>
      <c r="O338" s="797"/>
      <c r="P338" s="797"/>
      <c r="Q338" s="797"/>
      <c r="R338" s="797"/>
      <c r="S338" s="797"/>
      <c r="T338" s="797"/>
      <c r="U338" s="797"/>
      <c r="V338" s="797"/>
      <c r="W338" s="797"/>
      <c r="X338" s="797"/>
      <c r="Y338" s="797"/>
      <c r="Z338" s="797"/>
      <c r="AA338" s="797"/>
      <c r="AB338" s="798"/>
      <c r="AC338" s="799"/>
      <c r="AD338" s="800"/>
      <c r="AE338" s="800"/>
      <c r="AF338" s="801"/>
      <c r="AG338" s="466"/>
      <c r="AH338" s="467"/>
      <c r="AI338" s="467"/>
      <c r="AJ338" s="468"/>
      <c r="AK338" s="737"/>
      <c r="AL338" s="738"/>
      <c r="AM338" s="738"/>
      <c r="AN338" s="739"/>
      <c r="AO338" s="491"/>
      <c r="AP338" s="491"/>
      <c r="AQ338" s="491"/>
      <c r="AR338" s="492"/>
    </row>
    <row r="339" spans="3:44" ht="18" customHeight="1">
      <c r="C339" s="758"/>
      <c r="D339" s="759"/>
      <c r="E339" s="760"/>
      <c r="F339" s="796"/>
      <c r="G339" s="797"/>
      <c r="H339" s="797"/>
      <c r="I339" s="797"/>
      <c r="J339" s="797"/>
      <c r="K339" s="797"/>
      <c r="L339" s="797"/>
      <c r="M339" s="797"/>
      <c r="N339" s="797"/>
      <c r="O339" s="797"/>
      <c r="P339" s="797"/>
      <c r="Q339" s="797"/>
      <c r="R339" s="797"/>
      <c r="S339" s="797"/>
      <c r="T339" s="797"/>
      <c r="U339" s="797"/>
      <c r="V339" s="797"/>
      <c r="W339" s="797"/>
      <c r="X339" s="797"/>
      <c r="Y339" s="797"/>
      <c r="Z339" s="797"/>
      <c r="AA339" s="797"/>
      <c r="AB339" s="798"/>
      <c r="AC339" s="799"/>
      <c r="AD339" s="800"/>
      <c r="AE339" s="800"/>
      <c r="AF339" s="801"/>
      <c r="AG339" s="466"/>
      <c r="AH339" s="467"/>
      <c r="AI339" s="467"/>
      <c r="AJ339" s="468"/>
      <c r="AK339" s="737"/>
      <c r="AL339" s="738"/>
      <c r="AM339" s="738"/>
      <c r="AN339" s="739"/>
      <c r="AO339" s="740"/>
      <c r="AP339" s="741"/>
      <c r="AQ339" s="741"/>
      <c r="AR339" s="742"/>
    </row>
    <row r="340" spans="3:44" ht="18" customHeight="1">
      <c r="C340" s="743"/>
      <c r="D340" s="744"/>
      <c r="E340" s="744"/>
      <c r="F340" s="744"/>
      <c r="G340" s="744"/>
      <c r="H340" s="744"/>
      <c r="I340" s="744"/>
      <c r="J340" s="744"/>
      <c r="K340" s="744"/>
      <c r="L340" s="744"/>
      <c r="M340" s="744"/>
      <c r="N340" s="744"/>
      <c r="O340" s="744"/>
      <c r="P340" s="744"/>
      <c r="Q340" s="744"/>
      <c r="R340" s="744"/>
      <c r="S340" s="744"/>
      <c r="T340" s="744"/>
      <c r="U340" s="744"/>
      <c r="V340" s="744"/>
      <c r="W340" s="744"/>
      <c r="X340" s="744"/>
      <c r="Y340" s="745" t="s">
        <v>88</v>
      </c>
      <c r="Z340" s="745"/>
      <c r="AA340" s="745"/>
      <c r="AB340" s="745"/>
      <c r="AC340" s="745"/>
      <c r="AD340" s="745"/>
      <c r="AE340" s="745"/>
      <c r="AF340" s="745"/>
      <c r="AG340" s="745"/>
      <c r="AH340" s="745"/>
      <c r="AI340" s="745"/>
      <c r="AJ340" s="745"/>
      <c r="AK340" s="745"/>
      <c r="AL340" s="745"/>
      <c r="AM340" s="745"/>
      <c r="AN340" s="430"/>
      <c r="AO340" s="477">
        <f>SUM(AO331:AR339)</f>
        <v>177.63</v>
      </c>
      <c r="AP340" s="746"/>
      <c r="AQ340" s="746"/>
      <c r="AR340" s="747"/>
    </row>
    <row r="342" spans="3:44" ht="18" customHeight="1">
      <c r="C342" s="794" t="s">
        <v>43</v>
      </c>
      <c r="D342" s="774"/>
      <c r="E342" s="775"/>
      <c r="F342" s="773" t="s">
        <v>89</v>
      </c>
      <c r="G342" s="774"/>
      <c r="H342" s="774"/>
      <c r="I342" s="774"/>
      <c r="J342" s="774"/>
      <c r="K342" s="774"/>
      <c r="L342" s="774"/>
      <c r="M342" s="774"/>
      <c r="N342" s="774"/>
      <c r="O342" s="774"/>
      <c r="P342" s="774"/>
      <c r="Q342" s="774"/>
      <c r="R342" s="775"/>
      <c r="S342" s="773" t="s">
        <v>90</v>
      </c>
      <c r="T342" s="774"/>
      <c r="U342" s="775"/>
      <c r="V342" s="773" t="s">
        <v>91</v>
      </c>
      <c r="W342" s="774"/>
      <c r="X342" s="775"/>
      <c r="Y342" s="773" t="s">
        <v>92</v>
      </c>
      <c r="Z342" s="774"/>
      <c r="AA342" s="774"/>
      <c r="AB342" s="774"/>
      <c r="AC342" s="774"/>
      <c r="AD342" s="775"/>
      <c r="AE342" s="773" t="s">
        <v>93</v>
      </c>
      <c r="AF342" s="774"/>
      <c r="AG342" s="775"/>
      <c r="AH342" s="773" t="s">
        <v>94</v>
      </c>
      <c r="AI342" s="774"/>
      <c r="AJ342" s="775"/>
      <c r="AK342" s="773" t="s">
        <v>86</v>
      </c>
      <c r="AL342" s="774"/>
      <c r="AM342" s="774"/>
      <c r="AN342" s="775"/>
      <c r="AO342" s="773" t="s">
        <v>87</v>
      </c>
      <c r="AP342" s="774"/>
      <c r="AQ342" s="774"/>
      <c r="AR342" s="779"/>
    </row>
    <row r="343" spans="3:44" ht="18" customHeight="1">
      <c r="C343" s="795"/>
      <c r="D343" s="777"/>
      <c r="E343" s="778"/>
      <c r="F343" s="776"/>
      <c r="G343" s="777"/>
      <c r="H343" s="777"/>
      <c r="I343" s="777"/>
      <c r="J343" s="777"/>
      <c r="K343" s="777"/>
      <c r="L343" s="777"/>
      <c r="M343" s="777"/>
      <c r="N343" s="777"/>
      <c r="O343" s="777"/>
      <c r="P343" s="777"/>
      <c r="Q343" s="777"/>
      <c r="R343" s="778"/>
      <c r="S343" s="776"/>
      <c r="T343" s="777"/>
      <c r="U343" s="778"/>
      <c r="V343" s="776"/>
      <c r="W343" s="777"/>
      <c r="X343" s="778"/>
      <c r="Y343" s="776"/>
      <c r="Z343" s="777"/>
      <c r="AA343" s="777"/>
      <c r="AB343" s="777"/>
      <c r="AC343" s="777"/>
      <c r="AD343" s="778"/>
      <c r="AE343" s="776"/>
      <c r="AF343" s="777"/>
      <c r="AG343" s="778"/>
      <c r="AH343" s="776"/>
      <c r="AI343" s="777"/>
      <c r="AJ343" s="778"/>
      <c r="AK343" s="776"/>
      <c r="AL343" s="777"/>
      <c r="AM343" s="777"/>
      <c r="AN343" s="778"/>
      <c r="AO343" s="776"/>
      <c r="AP343" s="777"/>
      <c r="AQ343" s="777"/>
      <c r="AR343" s="780"/>
    </row>
    <row r="344" spans="3:44" ht="18" customHeight="1">
      <c r="C344" s="781"/>
      <c r="D344" s="782"/>
      <c r="E344" s="783"/>
      <c r="F344" s="457"/>
      <c r="G344" s="457"/>
      <c r="H344" s="457"/>
      <c r="I344" s="457"/>
      <c r="J344" s="457"/>
      <c r="K344" s="457"/>
      <c r="L344" s="457"/>
      <c r="M344" s="457"/>
      <c r="N344" s="457"/>
      <c r="O344" s="457"/>
      <c r="P344" s="457"/>
      <c r="Q344" s="457"/>
      <c r="R344" s="457"/>
      <c r="S344" s="784"/>
      <c r="T344" s="785"/>
      <c r="U344" s="786"/>
      <c r="V344" s="784"/>
      <c r="W344" s="785"/>
      <c r="X344" s="786"/>
      <c r="Y344" s="787"/>
      <c r="Z344" s="788"/>
      <c r="AA344" s="788"/>
      <c r="AB344" s="788"/>
      <c r="AC344" s="788"/>
      <c r="AD344" s="789"/>
      <c r="AE344" s="449"/>
      <c r="AF344" s="449"/>
      <c r="AG344" s="449"/>
      <c r="AH344" s="770"/>
      <c r="AI344" s="771"/>
      <c r="AJ344" s="790"/>
      <c r="AK344" s="791"/>
      <c r="AL344" s="792"/>
      <c r="AM344" s="792"/>
      <c r="AN344" s="793"/>
      <c r="AO344" s="770"/>
      <c r="AP344" s="771"/>
      <c r="AQ344" s="771"/>
      <c r="AR344" s="772"/>
    </row>
    <row r="345" spans="3:44" ht="18" customHeight="1">
      <c r="C345" s="758"/>
      <c r="D345" s="759"/>
      <c r="E345" s="760"/>
      <c r="F345" s="761"/>
      <c r="G345" s="762"/>
      <c r="H345" s="762"/>
      <c r="I345" s="762"/>
      <c r="J345" s="762"/>
      <c r="K345" s="762"/>
      <c r="L345" s="762"/>
      <c r="M345" s="762"/>
      <c r="N345" s="762"/>
      <c r="O345" s="762"/>
      <c r="P345" s="762"/>
      <c r="Q345" s="762"/>
      <c r="R345" s="763"/>
      <c r="S345" s="764"/>
      <c r="T345" s="765"/>
      <c r="U345" s="766"/>
      <c r="V345" s="764"/>
      <c r="W345" s="765"/>
      <c r="X345" s="766"/>
      <c r="Y345" s="767"/>
      <c r="Z345" s="768"/>
      <c r="AA345" s="768"/>
      <c r="AB345" s="768"/>
      <c r="AC345" s="768"/>
      <c r="AD345" s="769"/>
      <c r="AE345" s="740"/>
      <c r="AF345" s="741"/>
      <c r="AG345" s="757"/>
      <c r="AH345" s="740"/>
      <c r="AI345" s="741"/>
      <c r="AJ345" s="757"/>
      <c r="AK345" s="737"/>
      <c r="AL345" s="738"/>
      <c r="AM345" s="738"/>
      <c r="AN345" s="739"/>
      <c r="AO345" s="740">
        <f t="shared" ref="AO345:AO351" si="7">ROUND(AE345*AH345*AK345,2)</f>
        <v>0</v>
      </c>
      <c r="AP345" s="741"/>
      <c r="AQ345" s="741"/>
      <c r="AR345" s="742"/>
    </row>
    <row r="346" spans="3:44" ht="18" customHeight="1">
      <c r="C346" s="758"/>
      <c r="D346" s="759"/>
      <c r="E346" s="760"/>
      <c r="F346" s="761"/>
      <c r="G346" s="762"/>
      <c r="H346" s="762"/>
      <c r="I346" s="762"/>
      <c r="J346" s="762"/>
      <c r="K346" s="762"/>
      <c r="L346" s="762"/>
      <c r="M346" s="762"/>
      <c r="N346" s="762"/>
      <c r="O346" s="762"/>
      <c r="P346" s="762"/>
      <c r="Q346" s="762"/>
      <c r="R346" s="763"/>
      <c r="S346" s="764"/>
      <c r="T346" s="765"/>
      <c r="U346" s="766"/>
      <c r="V346" s="764"/>
      <c r="W346" s="765"/>
      <c r="X346" s="766"/>
      <c r="Y346" s="767"/>
      <c r="Z346" s="768"/>
      <c r="AA346" s="768"/>
      <c r="AB346" s="768"/>
      <c r="AC346" s="768"/>
      <c r="AD346" s="769"/>
      <c r="AE346" s="740"/>
      <c r="AF346" s="741"/>
      <c r="AG346" s="757"/>
      <c r="AH346" s="740"/>
      <c r="AI346" s="741"/>
      <c r="AJ346" s="757"/>
      <c r="AK346" s="737"/>
      <c r="AL346" s="738"/>
      <c r="AM346" s="738"/>
      <c r="AN346" s="739"/>
      <c r="AO346" s="740">
        <f t="shared" si="7"/>
        <v>0</v>
      </c>
      <c r="AP346" s="741"/>
      <c r="AQ346" s="741"/>
      <c r="AR346" s="742"/>
    </row>
    <row r="347" spans="3:44" ht="18" customHeight="1">
      <c r="C347" s="758"/>
      <c r="D347" s="759"/>
      <c r="E347" s="760"/>
      <c r="F347" s="761"/>
      <c r="G347" s="762"/>
      <c r="H347" s="762"/>
      <c r="I347" s="762"/>
      <c r="J347" s="762"/>
      <c r="K347" s="762"/>
      <c r="L347" s="762"/>
      <c r="M347" s="762"/>
      <c r="N347" s="762"/>
      <c r="O347" s="762"/>
      <c r="P347" s="762"/>
      <c r="Q347" s="762"/>
      <c r="R347" s="763"/>
      <c r="S347" s="764"/>
      <c r="T347" s="765"/>
      <c r="U347" s="766"/>
      <c r="V347" s="764"/>
      <c r="W347" s="765"/>
      <c r="X347" s="766"/>
      <c r="Y347" s="767"/>
      <c r="Z347" s="768"/>
      <c r="AA347" s="768"/>
      <c r="AB347" s="768"/>
      <c r="AC347" s="768"/>
      <c r="AD347" s="769"/>
      <c r="AE347" s="740"/>
      <c r="AF347" s="741"/>
      <c r="AG347" s="757"/>
      <c r="AH347" s="740"/>
      <c r="AI347" s="741"/>
      <c r="AJ347" s="757"/>
      <c r="AK347" s="737"/>
      <c r="AL347" s="738"/>
      <c r="AM347" s="738"/>
      <c r="AN347" s="739"/>
      <c r="AO347" s="740">
        <f t="shared" si="7"/>
        <v>0</v>
      </c>
      <c r="AP347" s="741"/>
      <c r="AQ347" s="741"/>
      <c r="AR347" s="742"/>
    </row>
    <row r="348" spans="3:44" ht="18" customHeight="1">
      <c r="C348" s="758"/>
      <c r="D348" s="759"/>
      <c r="E348" s="760"/>
      <c r="F348" s="761"/>
      <c r="G348" s="762"/>
      <c r="H348" s="762"/>
      <c r="I348" s="762"/>
      <c r="J348" s="762"/>
      <c r="K348" s="762"/>
      <c r="L348" s="762"/>
      <c r="M348" s="762"/>
      <c r="N348" s="762"/>
      <c r="O348" s="762"/>
      <c r="P348" s="762"/>
      <c r="Q348" s="762"/>
      <c r="R348" s="763"/>
      <c r="S348" s="764"/>
      <c r="T348" s="765"/>
      <c r="U348" s="766"/>
      <c r="V348" s="764"/>
      <c r="W348" s="765"/>
      <c r="X348" s="766"/>
      <c r="Y348" s="767"/>
      <c r="Z348" s="768"/>
      <c r="AA348" s="768"/>
      <c r="AB348" s="768"/>
      <c r="AC348" s="768"/>
      <c r="AD348" s="769"/>
      <c r="AE348" s="740"/>
      <c r="AF348" s="741"/>
      <c r="AG348" s="757"/>
      <c r="AH348" s="740"/>
      <c r="AI348" s="741"/>
      <c r="AJ348" s="757"/>
      <c r="AK348" s="737"/>
      <c r="AL348" s="738"/>
      <c r="AM348" s="738"/>
      <c r="AN348" s="739"/>
      <c r="AO348" s="740">
        <f t="shared" si="7"/>
        <v>0</v>
      </c>
      <c r="AP348" s="741"/>
      <c r="AQ348" s="741"/>
      <c r="AR348" s="742"/>
    </row>
    <row r="349" spans="3:44" ht="18" customHeight="1">
      <c r="C349" s="758"/>
      <c r="D349" s="759"/>
      <c r="E349" s="760"/>
      <c r="F349" s="761"/>
      <c r="G349" s="762"/>
      <c r="H349" s="762"/>
      <c r="I349" s="762"/>
      <c r="J349" s="762"/>
      <c r="K349" s="762"/>
      <c r="L349" s="762"/>
      <c r="M349" s="762"/>
      <c r="N349" s="762"/>
      <c r="O349" s="762"/>
      <c r="P349" s="762"/>
      <c r="Q349" s="762"/>
      <c r="R349" s="763"/>
      <c r="S349" s="764"/>
      <c r="T349" s="765"/>
      <c r="U349" s="766"/>
      <c r="V349" s="764"/>
      <c r="W349" s="765"/>
      <c r="X349" s="766"/>
      <c r="Y349" s="767"/>
      <c r="Z349" s="768"/>
      <c r="AA349" s="768"/>
      <c r="AB349" s="768"/>
      <c r="AC349" s="768"/>
      <c r="AD349" s="769"/>
      <c r="AE349" s="740"/>
      <c r="AF349" s="741"/>
      <c r="AG349" s="757"/>
      <c r="AH349" s="740"/>
      <c r="AI349" s="741"/>
      <c r="AJ349" s="757"/>
      <c r="AK349" s="737"/>
      <c r="AL349" s="738"/>
      <c r="AM349" s="738"/>
      <c r="AN349" s="739"/>
      <c r="AO349" s="740">
        <f t="shared" si="7"/>
        <v>0</v>
      </c>
      <c r="AP349" s="741"/>
      <c r="AQ349" s="741"/>
      <c r="AR349" s="742"/>
    </row>
    <row r="350" spans="3:44" ht="18" customHeight="1">
      <c r="C350" s="758"/>
      <c r="D350" s="759"/>
      <c r="E350" s="760"/>
      <c r="F350" s="761"/>
      <c r="G350" s="762"/>
      <c r="H350" s="762"/>
      <c r="I350" s="762"/>
      <c r="J350" s="762"/>
      <c r="K350" s="762"/>
      <c r="L350" s="762"/>
      <c r="M350" s="762"/>
      <c r="N350" s="762"/>
      <c r="O350" s="762"/>
      <c r="P350" s="762"/>
      <c r="Q350" s="762"/>
      <c r="R350" s="763"/>
      <c r="S350" s="764"/>
      <c r="T350" s="765"/>
      <c r="U350" s="766"/>
      <c r="V350" s="764"/>
      <c r="W350" s="765"/>
      <c r="X350" s="766"/>
      <c r="Y350" s="767"/>
      <c r="Z350" s="768"/>
      <c r="AA350" s="768"/>
      <c r="AB350" s="768"/>
      <c r="AC350" s="768"/>
      <c r="AD350" s="769"/>
      <c r="AE350" s="740"/>
      <c r="AF350" s="741"/>
      <c r="AG350" s="757"/>
      <c r="AH350" s="740"/>
      <c r="AI350" s="741"/>
      <c r="AJ350" s="757"/>
      <c r="AK350" s="737"/>
      <c r="AL350" s="738"/>
      <c r="AM350" s="738"/>
      <c r="AN350" s="739"/>
      <c r="AO350" s="740">
        <f t="shared" si="7"/>
        <v>0</v>
      </c>
      <c r="AP350" s="741"/>
      <c r="AQ350" s="741"/>
      <c r="AR350" s="742"/>
    </row>
    <row r="351" spans="3:44" ht="18" customHeight="1">
      <c r="C351" s="758"/>
      <c r="D351" s="759"/>
      <c r="E351" s="760"/>
      <c r="F351" s="761"/>
      <c r="G351" s="762"/>
      <c r="H351" s="762"/>
      <c r="I351" s="762"/>
      <c r="J351" s="762"/>
      <c r="K351" s="762"/>
      <c r="L351" s="762"/>
      <c r="M351" s="762"/>
      <c r="N351" s="762"/>
      <c r="O351" s="762"/>
      <c r="P351" s="762"/>
      <c r="Q351" s="762"/>
      <c r="R351" s="763"/>
      <c r="S351" s="764"/>
      <c r="T351" s="765"/>
      <c r="U351" s="766"/>
      <c r="V351" s="764"/>
      <c r="W351" s="765"/>
      <c r="X351" s="766"/>
      <c r="Y351" s="767"/>
      <c r="Z351" s="768"/>
      <c r="AA351" s="768"/>
      <c r="AB351" s="768"/>
      <c r="AC351" s="768"/>
      <c r="AD351" s="769"/>
      <c r="AE351" s="740"/>
      <c r="AF351" s="741"/>
      <c r="AG351" s="757"/>
      <c r="AH351" s="740"/>
      <c r="AI351" s="741"/>
      <c r="AJ351" s="757"/>
      <c r="AK351" s="737"/>
      <c r="AL351" s="738"/>
      <c r="AM351" s="738"/>
      <c r="AN351" s="739"/>
      <c r="AO351" s="740">
        <f t="shared" si="7"/>
        <v>0</v>
      </c>
      <c r="AP351" s="741"/>
      <c r="AQ351" s="741"/>
      <c r="AR351" s="742"/>
    </row>
    <row r="352" spans="3:44" ht="18" customHeight="1">
      <c r="C352" s="743"/>
      <c r="D352" s="744"/>
      <c r="E352" s="744"/>
      <c r="F352" s="744"/>
      <c r="G352" s="744"/>
      <c r="H352" s="744"/>
      <c r="I352" s="744"/>
      <c r="J352" s="744"/>
      <c r="K352" s="744"/>
      <c r="L352" s="744"/>
      <c r="M352" s="744"/>
      <c r="N352" s="744"/>
      <c r="O352" s="744"/>
      <c r="P352" s="744"/>
      <c r="Q352" s="744"/>
      <c r="R352" s="744"/>
      <c r="S352" s="744"/>
      <c r="T352" s="744"/>
      <c r="U352" s="744"/>
      <c r="V352" s="744"/>
      <c r="W352" s="744"/>
      <c r="X352" s="744"/>
      <c r="Y352" s="745" t="s">
        <v>95</v>
      </c>
      <c r="Z352" s="745"/>
      <c r="AA352" s="745"/>
      <c r="AB352" s="745"/>
      <c r="AC352" s="745"/>
      <c r="AD352" s="745"/>
      <c r="AE352" s="745"/>
      <c r="AF352" s="745"/>
      <c r="AG352" s="745"/>
      <c r="AH352" s="745"/>
      <c r="AI352" s="745"/>
      <c r="AJ352" s="745"/>
      <c r="AK352" s="745"/>
      <c r="AL352" s="745"/>
      <c r="AM352" s="745"/>
      <c r="AN352" s="430"/>
      <c r="AO352" s="477">
        <f>SUM(AO344:AR351)</f>
        <v>0</v>
      </c>
      <c r="AP352" s="746"/>
      <c r="AQ352" s="746"/>
      <c r="AR352" s="747"/>
    </row>
    <row r="354" spans="1:44" ht="18" customHeight="1">
      <c r="C354" s="434"/>
      <c r="D354" s="434"/>
      <c r="E354" s="434"/>
      <c r="F354" s="434"/>
      <c r="G354" s="434"/>
      <c r="H354" s="434"/>
      <c r="I354" s="434"/>
      <c r="J354" s="434"/>
      <c r="K354" s="434"/>
      <c r="L354" s="434"/>
      <c r="M354" s="434"/>
      <c r="N354" s="434"/>
      <c r="O354" s="434"/>
      <c r="P354" s="434"/>
      <c r="Q354" s="434"/>
      <c r="R354" s="434"/>
      <c r="S354" s="434"/>
      <c r="T354" s="434"/>
      <c r="U354" s="434"/>
      <c r="V354" s="434"/>
      <c r="W354" s="434"/>
      <c r="X354" s="748"/>
      <c r="Y354" s="749" t="s">
        <v>96</v>
      </c>
      <c r="Z354" s="750"/>
      <c r="AA354" s="750"/>
      <c r="AB354" s="750"/>
      <c r="AC354" s="750"/>
      <c r="AD354" s="750"/>
      <c r="AE354" s="750"/>
      <c r="AF354" s="750"/>
      <c r="AG354" s="750"/>
      <c r="AH354" s="750"/>
      <c r="AI354" s="750"/>
      <c r="AJ354" s="750"/>
      <c r="AK354" s="750"/>
      <c r="AL354" s="750"/>
      <c r="AM354" s="750"/>
      <c r="AN354" s="751"/>
      <c r="AO354" s="752">
        <f>AO327+AO340+AO352</f>
        <v>266.67</v>
      </c>
      <c r="AP354" s="753"/>
      <c r="AQ354" s="753"/>
      <c r="AR354" s="754"/>
    </row>
    <row r="355" spans="1:44" ht="18" customHeight="1">
      <c r="C355" s="434"/>
      <c r="D355" s="434"/>
      <c r="E355" s="434"/>
      <c r="F355" s="434"/>
      <c r="G355" s="434"/>
      <c r="H355" s="434"/>
      <c r="I355" s="434"/>
      <c r="J355" s="434"/>
      <c r="K355" s="434"/>
      <c r="L355" s="434"/>
      <c r="M355" s="434"/>
      <c r="N355" s="434"/>
      <c r="O355" s="434"/>
      <c r="P355" s="434"/>
      <c r="Q355" s="434"/>
      <c r="R355" s="434"/>
      <c r="S355" s="434"/>
      <c r="T355" s="434"/>
      <c r="U355" s="434"/>
      <c r="V355" s="434"/>
      <c r="W355" s="434"/>
      <c r="X355" s="748"/>
      <c r="Y355" s="755" t="s">
        <v>97</v>
      </c>
      <c r="Z355" s="756"/>
      <c r="AA355" s="756"/>
      <c r="AB355" s="756"/>
      <c r="AC355" s="756"/>
      <c r="AD355" s="756"/>
      <c r="AE355" s="756"/>
      <c r="AF355" s="756"/>
      <c r="AG355" s="756"/>
      <c r="AH355" s="442">
        <v>0.2031</v>
      </c>
      <c r="AI355" s="442"/>
      <c r="AJ355" s="442"/>
      <c r="AK355" s="442"/>
      <c r="AL355" s="442"/>
      <c r="AM355" s="442"/>
      <c r="AN355" s="443"/>
      <c r="AO355" s="728">
        <f>ROUND(AO354*AH355,2)</f>
        <v>54.16</v>
      </c>
      <c r="AP355" s="729"/>
      <c r="AQ355" s="729"/>
      <c r="AR355" s="730"/>
    </row>
    <row r="356" spans="1:44" ht="18" customHeight="1">
      <c r="A356" s="415" t="s">
        <v>1629</v>
      </c>
      <c r="B356" s="415"/>
      <c r="C356" s="434"/>
      <c r="D356" s="434"/>
      <c r="E356" s="434"/>
      <c r="F356" s="434"/>
      <c r="G356" s="434"/>
      <c r="H356" s="434"/>
      <c r="I356" s="434"/>
      <c r="J356" s="434"/>
      <c r="K356" s="434"/>
      <c r="L356" s="434"/>
      <c r="M356" s="434"/>
      <c r="N356" s="434"/>
      <c r="O356" s="434"/>
      <c r="P356" s="434"/>
      <c r="Q356" s="434"/>
      <c r="R356" s="434"/>
      <c r="S356" s="434"/>
      <c r="T356" s="434"/>
      <c r="U356" s="434"/>
      <c r="V356" s="434"/>
      <c r="W356" s="434"/>
      <c r="X356" s="748"/>
      <c r="Y356" s="731" t="s">
        <v>98</v>
      </c>
      <c r="Z356" s="732"/>
      <c r="AA356" s="732"/>
      <c r="AB356" s="732"/>
      <c r="AC356" s="732"/>
      <c r="AD356" s="732"/>
      <c r="AE356" s="732"/>
      <c r="AF356" s="732"/>
      <c r="AG356" s="732"/>
      <c r="AH356" s="732"/>
      <c r="AI356" s="732"/>
      <c r="AJ356" s="732"/>
      <c r="AK356" s="732"/>
      <c r="AL356" s="732"/>
      <c r="AM356" s="732"/>
      <c r="AN356" s="733"/>
      <c r="AO356" s="734">
        <f>SUM(AO354:AR355)</f>
        <v>320.83000000000004</v>
      </c>
      <c r="AP356" s="735"/>
      <c r="AQ356" s="735"/>
      <c r="AR356" s="736"/>
    </row>
    <row r="358" spans="1:44" ht="18" customHeight="1">
      <c r="C358" s="420" t="s">
        <v>99</v>
      </c>
      <c r="D358" s="421"/>
      <c r="E358" s="421"/>
      <c r="F358" s="421"/>
      <c r="G358" s="421"/>
      <c r="H358" s="421"/>
      <c r="I358" s="422"/>
      <c r="J358" s="422"/>
      <c r="K358" s="422"/>
      <c r="L358" s="422"/>
      <c r="M358" s="422"/>
      <c r="N358" s="422"/>
      <c r="O358" s="422"/>
      <c r="P358" s="422"/>
      <c r="Q358" s="422"/>
      <c r="R358" s="422"/>
      <c r="S358" s="422"/>
      <c r="T358" s="422"/>
      <c r="U358" s="422"/>
      <c r="V358" s="422"/>
      <c r="W358" s="422"/>
      <c r="X358" s="422"/>
      <c r="Y358" s="422"/>
      <c r="Z358" s="422"/>
      <c r="AA358" s="422"/>
      <c r="AB358" s="422"/>
      <c r="AC358" s="422"/>
      <c r="AD358" s="422"/>
      <c r="AE358" s="422"/>
      <c r="AF358" s="422"/>
      <c r="AG358" s="422"/>
      <c r="AH358" s="422"/>
      <c r="AI358" s="422"/>
      <c r="AJ358" s="422"/>
      <c r="AK358" s="422"/>
      <c r="AL358" s="422"/>
      <c r="AM358" s="422"/>
      <c r="AN358" s="422"/>
      <c r="AO358" s="422"/>
      <c r="AP358" s="422"/>
      <c r="AQ358" s="422"/>
      <c r="AR358" s="423"/>
    </row>
    <row r="359" spans="1:44" ht="18" customHeight="1">
      <c r="C359" s="411"/>
      <c r="D359" s="412"/>
      <c r="E359" s="412"/>
      <c r="F359" s="412"/>
      <c r="G359" s="412"/>
      <c r="H359" s="412"/>
      <c r="I359" s="409"/>
      <c r="J359" s="409"/>
      <c r="K359" s="409"/>
      <c r="L359" s="409"/>
      <c r="M359" s="409"/>
      <c r="N359" s="409"/>
      <c r="O359" s="409"/>
      <c r="P359" s="409"/>
      <c r="Q359" s="409"/>
      <c r="R359" s="409"/>
      <c r="S359" s="409"/>
      <c r="T359" s="409"/>
      <c r="U359" s="409"/>
      <c r="V359" s="409"/>
      <c r="W359" s="409"/>
      <c r="X359" s="409"/>
      <c r="Y359" s="409"/>
      <c r="Z359" s="409"/>
      <c r="AA359" s="409"/>
      <c r="AB359" s="409"/>
      <c r="AC359" s="409"/>
      <c r="AD359" s="409"/>
      <c r="AE359" s="409"/>
      <c r="AF359" s="409"/>
      <c r="AG359" s="409"/>
      <c r="AH359" s="409"/>
      <c r="AI359" s="409"/>
      <c r="AJ359" s="409"/>
      <c r="AK359" s="409"/>
      <c r="AL359" s="409"/>
      <c r="AM359" s="409"/>
      <c r="AN359" s="409"/>
      <c r="AO359" s="409"/>
      <c r="AP359" s="409"/>
      <c r="AQ359" s="409"/>
      <c r="AR359" s="410"/>
    </row>
    <row r="360" spans="1:44" ht="18" customHeight="1">
      <c r="C360" s="411"/>
      <c r="D360" s="412"/>
      <c r="E360" s="412"/>
      <c r="F360" s="412"/>
      <c r="G360" s="412"/>
      <c r="H360" s="412"/>
      <c r="I360" s="409"/>
      <c r="J360" s="409"/>
      <c r="K360" s="409"/>
      <c r="L360" s="409"/>
      <c r="M360" s="409"/>
      <c r="N360" s="409"/>
      <c r="O360" s="409"/>
      <c r="P360" s="409"/>
      <c r="Q360" s="409"/>
      <c r="R360" s="409"/>
      <c r="S360" s="409"/>
      <c r="T360" s="409"/>
      <c r="U360" s="409"/>
      <c r="V360" s="409"/>
      <c r="W360" s="409"/>
      <c r="X360" s="409"/>
      <c r="Y360" s="409"/>
      <c r="Z360" s="409"/>
      <c r="AA360" s="409"/>
      <c r="AB360" s="409"/>
      <c r="AC360" s="409"/>
      <c r="AD360" s="409"/>
      <c r="AE360" s="409"/>
      <c r="AF360" s="409"/>
      <c r="AG360" s="409"/>
      <c r="AH360" s="409"/>
      <c r="AI360" s="409"/>
      <c r="AJ360" s="409"/>
      <c r="AK360" s="409"/>
      <c r="AL360" s="409"/>
      <c r="AM360" s="409"/>
      <c r="AN360" s="409"/>
      <c r="AO360" s="409"/>
      <c r="AP360" s="409"/>
      <c r="AQ360" s="409"/>
      <c r="AR360" s="410"/>
    </row>
    <row r="361" spans="1:44" ht="18" customHeight="1">
      <c r="C361" s="411"/>
      <c r="D361" s="412"/>
      <c r="E361" s="412"/>
      <c r="F361" s="412"/>
      <c r="G361" s="412"/>
      <c r="H361" s="412"/>
      <c r="I361" s="409"/>
      <c r="J361" s="409"/>
      <c r="K361" s="409"/>
      <c r="L361" s="409"/>
      <c r="M361" s="409"/>
      <c r="N361" s="409"/>
      <c r="O361" s="409"/>
      <c r="P361" s="409"/>
      <c r="Q361" s="409"/>
      <c r="R361" s="409"/>
      <c r="S361" s="409"/>
      <c r="T361" s="409"/>
      <c r="U361" s="409"/>
      <c r="V361" s="409"/>
      <c r="W361" s="409"/>
      <c r="X361" s="409"/>
      <c r="Y361" s="409"/>
      <c r="Z361" s="409"/>
      <c r="AA361" s="409"/>
      <c r="AB361" s="409"/>
      <c r="AC361" s="409"/>
      <c r="AD361" s="409"/>
      <c r="AE361" s="409"/>
      <c r="AF361" s="409"/>
      <c r="AG361" s="409"/>
      <c r="AH361" s="409"/>
      <c r="AI361" s="409"/>
      <c r="AJ361" s="409"/>
      <c r="AK361" s="409"/>
      <c r="AL361" s="409"/>
      <c r="AM361" s="409"/>
      <c r="AN361" s="409"/>
      <c r="AO361" s="409"/>
      <c r="AP361" s="409"/>
      <c r="AQ361" s="409"/>
      <c r="AR361" s="410"/>
    </row>
    <row r="362" spans="1:44" ht="18" customHeight="1">
      <c r="C362" s="411"/>
      <c r="D362" s="412"/>
      <c r="E362" s="412"/>
      <c r="F362" s="412"/>
      <c r="G362" s="412"/>
      <c r="H362" s="412"/>
      <c r="I362" s="409"/>
      <c r="J362" s="409"/>
      <c r="K362" s="409"/>
      <c r="L362" s="409"/>
      <c r="M362" s="409"/>
      <c r="N362" s="409"/>
      <c r="O362" s="409"/>
      <c r="P362" s="409"/>
      <c r="Q362" s="409"/>
      <c r="R362" s="409"/>
      <c r="S362" s="409"/>
      <c r="T362" s="409"/>
      <c r="U362" s="409"/>
      <c r="V362" s="409"/>
      <c r="W362" s="409"/>
      <c r="X362" s="409"/>
      <c r="Y362" s="409"/>
      <c r="Z362" s="409"/>
      <c r="AA362" s="409"/>
      <c r="AB362" s="409"/>
      <c r="AC362" s="409"/>
      <c r="AD362" s="409"/>
      <c r="AE362" s="409"/>
      <c r="AF362" s="409"/>
      <c r="AG362" s="409"/>
      <c r="AH362" s="409"/>
      <c r="AI362" s="409"/>
      <c r="AJ362" s="409"/>
      <c r="AK362" s="409"/>
      <c r="AL362" s="409"/>
      <c r="AM362" s="409"/>
      <c r="AN362" s="409"/>
      <c r="AO362" s="409"/>
      <c r="AP362" s="409"/>
      <c r="AQ362" s="409"/>
      <c r="AR362" s="410"/>
    </row>
    <row r="363" spans="1:44" ht="18" customHeight="1">
      <c r="C363" s="385"/>
      <c r="D363" s="386"/>
      <c r="E363" s="386"/>
      <c r="F363" s="386"/>
      <c r="G363" s="386"/>
      <c r="H363" s="386"/>
      <c r="I363" s="387"/>
      <c r="J363" s="387"/>
      <c r="K363" s="387"/>
      <c r="L363" s="387"/>
      <c r="M363" s="387"/>
      <c r="N363" s="387"/>
      <c r="O363" s="387"/>
      <c r="P363" s="387"/>
      <c r="Q363" s="387"/>
      <c r="R363" s="387"/>
      <c r="S363" s="387"/>
      <c r="T363" s="387"/>
      <c r="U363" s="387"/>
      <c r="V363" s="387"/>
      <c r="W363" s="387"/>
      <c r="X363" s="387"/>
      <c r="Y363" s="387"/>
      <c r="Z363" s="387"/>
      <c r="AA363" s="387"/>
      <c r="AB363" s="387"/>
      <c r="AC363" s="387"/>
      <c r="AD363" s="387"/>
      <c r="AE363" s="387"/>
      <c r="AF363" s="387"/>
      <c r="AG363" s="387"/>
      <c r="AH363" s="387"/>
      <c r="AI363" s="387"/>
      <c r="AJ363" s="387"/>
      <c r="AK363" s="387"/>
      <c r="AL363" s="387"/>
      <c r="AM363" s="387"/>
      <c r="AN363" s="387"/>
      <c r="AO363" s="387"/>
      <c r="AP363" s="387"/>
      <c r="AQ363" s="387"/>
      <c r="AR363" s="388"/>
    </row>
    <row r="365" spans="1:44" ht="18" customHeight="1">
      <c r="C365" s="389" t="s">
        <v>100</v>
      </c>
      <c r="D365" s="390"/>
      <c r="E365" s="390"/>
      <c r="F365" s="390"/>
      <c r="G365" s="390"/>
      <c r="H365" s="390"/>
      <c r="I365" s="390"/>
      <c r="J365" s="390"/>
      <c r="K365" s="390"/>
      <c r="L365" s="390"/>
      <c r="M365" s="390"/>
      <c r="N365" s="390"/>
      <c r="O365" s="390"/>
      <c r="P365" s="390"/>
      <c r="Q365" s="390"/>
      <c r="R365" s="390"/>
      <c r="S365" s="390"/>
      <c r="T365" s="390"/>
      <c r="U365" s="390"/>
      <c r="V365" s="390"/>
      <c r="W365" s="390"/>
      <c r="X365" s="390"/>
      <c r="Y365" s="390"/>
      <c r="Z365" s="390"/>
      <c r="AA365" s="391"/>
      <c r="AB365" s="392" t="str">
        <f>[4]C.UNIT.SERV.!$E$5</f>
        <v>DATA-BASE:      MAIO/2011/PR</v>
      </c>
      <c r="AC365" s="393"/>
      <c r="AD365" s="393"/>
      <c r="AE365" s="393"/>
      <c r="AF365" s="393"/>
      <c r="AG365" s="393"/>
      <c r="AH365" s="393"/>
      <c r="AI365" s="394"/>
      <c r="AJ365" s="392"/>
      <c r="AK365" s="393"/>
      <c r="AL365" s="393"/>
      <c r="AM365" s="393"/>
      <c r="AN365" s="393"/>
      <c r="AO365" s="393"/>
      <c r="AP365" s="393"/>
      <c r="AQ365" s="393"/>
      <c r="AR365" s="401"/>
    </row>
    <row r="366" spans="1:44" ht="18" customHeight="1">
      <c r="C366" s="404" t="s">
        <v>101</v>
      </c>
      <c r="D366" s="405"/>
      <c r="E366" s="405"/>
      <c r="F366" s="405"/>
      <c r="G366" s="405" t="s">
        <v>283</v>
      </c>
      <c r="H366" s="405"/>
      <c r="I366" s="405"/>
      <c r="J366" s="405"/>
      <c r="K366" s="405"/>
      <c r="L366" s="405"/>
      <c r="M366" s="405"/>
      <c r="N366" s="405"/>
      <c r="O366" s="405"/>
      <c r="P366" s="405"/>
      <c r="Q366" s="405"/>
      <c r="R366" s="405"/>
      <c r="S366" s="405"/>
      <c r="T366" s="405"/>
      <c r="U366" s="405"/>
      <c r="V366" s="405"/>
      <c r="W366" s="405"/>
      <c r="X366" s="405"/>
      <c r="Y366" s="405"/>
      <c r="Z366" s="405"/>
      <c r="AA366" s="406"/>
      <c r="AB366" s="395"/>
      <c r="AC366" s="396"/>
      <c r="AD366" s="396"/>
      <c r="AE366" s="396"/>
      <c r="AF366" s="396"/>
      <c r="AG366" s="396"/>
      <c r="AH366" s="396"/>
      <c r="AI366" s="397"/>
      <c r="AJ366" s="395"/>
      <c r="AK366" s="396"/>
      <c r="AL366" s="396"/>
      <c r="AM366" s="396"/>
      <c r="AN366" s="396"/>
      <c r="AO366" s="396"/>
      <c r="AP366" s="396"/>
      <c r="AQ366" s="396"/>
      <c r="AR366" s="402"/>
    </row>
    <row r="367" spans="1:44" ht="18" customHeight="1">
      <c r="C367" s="404" t="s">
        <v>102</v>
      </c>
      <c r="D367" s="405"/>
      <c r="E367" s="405"/>
      <c r="F367" s="405"/>
      <c r="G367" s="405"/>
      <c r="H367" s="405"/>
      <c r="I367" s="405"/>
      <c r="J367" s="405"/>
      <c r="K367" s="405"/>
      <c r="L367" s="405"/>
      <c r="M367" s="405"/>
      <c r="N367" s="405"/>
      <c r="O367" s="405"/>
      <c r="P367" s="405"/>
      <c r="Q367" s="405"/>
      <c r="R367" s="405"/>
      <c r="S367" s="405"/>
      <c r="T367" s="405"/>
      <c r="U367" s="405"/>
      <c r="V367" s="405"/>
      <c r="W367" s="405"/>
      <c r="X367" s="405"/>
      <c r="Y367" s="405"/>
      <c r="Z367" s="405"/>
      <c r="AA367" s="406"/>
      <c r="AB367" s="395"/>
      <c r="AC367" s="396"/>
      <c r="AD367" s="396"/>
      <c r="AE367" s="396"/>
      <c r="AF367" s="396"/>
      <c r="AG367" s="396"/>
      <c r="AH367" s="396"/>
      <c r="AI367" s="397"/>
      <c r="AJ367" s="395"/>
      <c r="AK367" s="396"/>
      <c r="AL367" s="396"/>
      <c r="AM367" s="396"/>
      <c r="AN367" s="396"/>
      <c r="AO367" s="396"/>
      <c r="AP367" s="396"/>
      <c r="AQ367" s="396"/>
      <c r="AR367" s="402"/>
    </row>
    <row r="368" spans="1:44" ht="18" customHeight="1">
      <c r="C368" s="407"/>
      <c r="D368" s="408"/>
      <c r="E368" s="408"/>
      <c r="F368" s="408"/>
      <c r="G368" s="408"/>
      <c r="H368" s="408"/>
      <c r="I368" s="408"/>
      <c r="J368" s="408"/>
      <c r="K368" s="408"/>
      <c r="L368" s="408"/>
      <c r="M368" s="408"/>
      <c r="N368" s="408"/>
      <c r="O368" s="408"/>
      <c r="P368" s="408"/>
      <c r="Q368" s="408"/>
      <c r="R368" s="408"/>
      <c r="S368" s="408"/>
      <c r="T368" s="408"/>
      <c r="U368" s="408"/>
      <c r="V368" s="408"/>
      <c r="W368" s="408"/>
      <c r="X368" s="408"/>
      <c r="Y368" s="408"/>
      <c r="Z368" s="408"/>
      <c r="AA368" s="408"/>
      <c r="AB368" s="398"/>
      <c r="AC368" s="399"/>
      <c r="AD368" s="399"/>
      <c r="AE368" s="399"/>
      <c r="AF368" s="399"/>
      <c r="AG368" s="399"/>
      <c r="AH368" s="399"/>
      <c r="AI368" s="400"/>
      <c r="AJ368" s="398"/>
      <c r="AK368" s="399"/>
      <c r="AL368" s="399"/>
      <c r="AM368" s="399"/>
      <c r="AN368" s="399"/>
      <c r="AO368" s="399"/>
      <c r="AP368" s="399"/>
      <c r="AQ368" s="399"/>
      <c r="AR368" s="403"/>
    </row>
  </sheetData>
  <mergeCells count="1732">
    <mergeCell ref="AC215:AR215"/>
    <mergeCell ref="C217:F217"/>
    <mergeCell ref="G217:AA217"/>
    <mergeCell ref="AB217:AI220"/>
    <mergeCell ref="AJ217:AR220"/>
    <mergeCell ref="C218:F218"/>
    <mergeCell ref="G218:AA218"/>
    <mergeCell ref="C219:F219"/>
    <mergeCell ref="G219:AA219"/>
    <mergeCell ref="C220:AA220"/>
    <mergeCell ref="C187:E187"/>
    <mergeCell ref="C188:E188"/>
    <mergeCell ref="C215:H215"/>
    <mergeCell ref="I215:J215"/>
    <mergeCell ref="K215:Z215"/>
    <mergeCell ref="AA215:AB215"/>
    <mergeCell ref="C211:H211"/>
    <mergeCell ref="I211:J211"/>
    <mergeCell ref="K211:Z211"/>
    <mergeCell ref="AA211:AB211"/>
    <mergeCell ref="C203:E203"/>
    <mergeCell ref="F203:R203"/>
    <mergeCell ref="S203:U203"/>
    <mergeCell ref="V203:X203"/>
    <mergeCell ref="Y203:AD203"/>
    <mergeCell ref="AE203:AG203"/>
    <mergeCell ref="AH203:AJ203"/>
    <mergeCell ref="AK203:AN203"/>
    <mergeCell ref="AO203:AR203"/>
    <mergeCell ref="C204:X204"/>
    <mergeCell ref="Y204:AN204"/>
    <mergeCell ref="AO204:AR204"/>
    <mergeCell ref="A208:B208"/>
    <mergeCell ref="Y208:AN208"/>
    <mergeCell ref="AO208:AR208"/>
    <mergeCell ref="C210:H210"/>
    <mergeCell ref="I210:J210"/>
    <mergeCell ref="K210:Z210"/>
    <mergeCell ref="AA210:AB210"/>
    <mergeCell ref="AC210:AR210"/>
    <mergeCell ref="AC211:AR211"/>
    <mergeCell ref="C212:H212"/>
    <mergeCell ref="I212:J212"/>
    <mergeCell ref="K212:Z212"/>
    <mergeCell ref="AA212:AB212"/>
    <mergeCell ref="AC212:AR212"/>
    <mergeCell ref="AC213:AR213"/>
    <mergeCell ref="C214:H214"/>
    <mergeCell ref="I214:J214"/>
    <mergeCell ref="K214:Z214"/>
    <mergeCell ref="AA214:AB214"/>
    <mergeCell ref="AC214:AR214"/>
    <mergeCell ref="C213:H213"/>
    <mergeCell ref="I213:J213"/>
    <mergeCell ref="K213:Z213"/>
    <mergeCell ref="AA213:AB213"/>
    <mergeCell ref="C206:X208"/>
    <mergeCell ref="Y206:AN206"/>
    <mergeCell ref="AO206:AR206"/>
    <mergeCell ref="Y207:AG207"/>
    <mergeCell ref="AH207:AN207"/>
    <mergeCell ref="AO207:AR207"/>
    <mergeCell ref="C201:E201"/>
    <mergeCell ref="F201:R201"/>
    <mergeCell ref="S201:U201"/>
    <mergeCell ref="V201:X201"/>
    <mergeCell ref="Y201:AD201"/>
    <mergeCell ref="AE201:AG201"/>
    <mergeCell ref="AH201:AJ201"/>
    <mergeCell ref="AK201:AN201"/>
    <mergeCell ref="AO201:AR201"/>
    <mergeCell ref="C202:E202"/>
    <mergeCell ref="F202:R202"/>
    <mergeCell ref="S202:U202"/>
    <mergeCell ref="V202:X202"/>
    <mergeCell ref="Y202:AD202"/>
    <mergeCell ref="AE202:AG202"/>
    <mergeCell ref="AH202:AJ202"/>
    <mergeCell ref="AK202:AN202"/>
    <mergeCell ref="AO202:AR202"/>
    <mergeCell ref="C199:E199"/>
    <mergeCell ref="F199:R199"/>
    <mergeCell ref="S199:U199"/>
    <mergeCell ref="V199:X199"/>
    <mergeCell ref="Y199:AD199"/>
    <mergeCell ref="AE199:AG199"/>
    <mergeCell ref="AH199:AJ199"/>
    <mergeCell ref="AK199:AN199"/>
    <mergeCell ref="AO199:AR199"/>
    <mergeCell ref="C200:E200"/>
    <mergeCell ref="F200:R200"/>
    <mergeCell ref="S200:U200"/>
    <mergeCell ref="V200:X200"/>
    <mergeCell ref="Y200:AD200"/>
    <mergeCell ref="AE200:AG200"/>
    <mergeCell ref="AH200:AJ200"/>
    <mergeCell ref="AK200:AN200"/>
    <mergeCell ref="AO200:AR200"/>
    <mergeCell ref="C197:E197"/>
    <mergeCell ref="F197:R197"/>
    <mergeCell ref="S197:U197"/>
    <mergeCell ref="V197:X197"/>
    <mergeCell ref="Y197:AD197"/>
    <mergeCell ref="AE197:AG197"/>
    <mergeCell ref="AH197:AJ197"/>
    <mergeCell ref="AK197:AN197"/>
    <mergeCell ref="AO197:AR197"/>
    <mergeCell ref="C198:E198"/>
    <mergeCell ref="F198:R198"/>
    <mergeCell ref="S198:U198"/>
    <mergeCell ref="V198:X198"/>
    <mergeCell ref="Y198:AD198"/>
    <mergeCell ref="AE198:AG198"/>
    <mergeCell ref="AH198:AJ198"/>
    <mergeCell ref="AK198:AN198"/>
    <mergeCell ref="AO198:AR198"/>
    <mergeCell ref="F194:R195"/>
    <mergeCell ref="S194:U195"/>
    <mergeCell ref="V194:X195"/>
    <mergeCell ref="Y194:AD195"/>
    <mergeCell ref="AE194:AG195"/>
    <mergeCell ref="AH194:AJ195"/>
    <mergeCell ref="AK194:AN195"/>
    <mergeCell ref="AO194:AR195"/>
    <mergeCell ref="C196:E196"/>
    <mergeCell ref="F196:R196"/>
    <mergeCell ref="S196:U196"/>
    <mergeCell ref="V196:X196"/>
    <mergeCell ref="Y196:AD196"/>
    <mergeCell ref="AE196:AG196"/>
    <mergeCell ref="AH196:AJ196"/>
    <mergeCell ref="AK196:AN196"/>
    <mergeCell ref="AO196:AR196"/>
    <mergeCell ref="C183:E183"/>
    <mergeCell ref="F183:AB183"/>
    <mergeCell ref="AC183:AF183"/>
    <mergeCell ref="AG183:AJ183"/>
    <mergeCell ref="AK183:AN183"/>
    <mergeCell ref="AO183:AR183"/>
    <mergeCell ref="C189:E189"/>
    <mergeCell ref="F189:AB189"/>
    <mergeCell ref="AC189:AF189"/>
    <mergeCell ref="AG189:AJ189"/>
    <mergeCell ref="AK189:AN189"/>
    <mergeCell ref="AO189:AR189"/>
    <mergeCell ref="C190:E190"/>
    <mergeCell ref="F190:AB190"/>
    <mergeCell ref="AC190:AF190"/>
    <mergeCell ref="AG190:AJ190"/>
    <mergeCell ref="AK190:AN190"/>
    <mergeCell ref="AO190:AR190"/>
    <mergeCell ref="C185:E185"/>
    <mergeCell ref="F185:AB185"/>
    <mergeCell ref="AC185:AF185"/>
    <mergeCell ref="AG185:AJ185"/>
    <mergeCell ref="AK185:AN185"/>
    <mergeCell ref="AO185:AR185"/>
    <mergeCell ref="C184:E184"/>
    <mergeCell ref="F184:AB184"/>
    <mergeCell ref="AC184:AF184"/>
    <mergeCell ref="AG184:AJ184"/>
    <mergeCell ref="AK184:AN184"/>
    <mergeCell ref="AO184:AR184"/>
    <mergeCell ref="C176:X176"/>
    <mergeCell ref="Y176:AN176"/>
    <mergeCell ref="AO176:AR176"/>
    <mergeCell ref="C178:X178"/>
    <mergeCell ref="Y178:AN178"/>
    <mergeCell ref="AO178:AR178"/>
    <mergeCell ref="C179:P179"/>
    <mergeCell ref="Q179:U179"/>
    <mergeCell ref="V179:X179"/>
    <mergeCell ref="Y179:AN179"/>
    <mergeCell ref="AO179:AR179"/>
    <mergeCell ref="C181:E182"/>
    <mergeCell ref="F181:AB182"/>
    <mergeCell ref="AC181:AF182"/>
    <mergeCell ref="AG181:AJ182"/>
    <mergeCell ref="AK181:AN182"/>
    <mergeCell ref="AO181:AR182"/>
    <mergeCell ref="C173:E173"/>
    <mergeCell ref="F173:AB173"/>
    <mergeCell ref="AC173:AF173"/>
    <mergeCell ref="AG173:AJ173"/>
    <mergeCell ref="AK173:AN173"/>
    <mergeCell ref="AO173:AR173"/>
    <mergeCell ref="C174:E174"/>
    <mergeCell ref="F174:AB174"/>
    <mergeCell ref="AC174:AF174"/>
    <mergeCell ref="AG174:AJ174"/>
    <mergeCell ref="AK174:AN174"/>
    <mergeCell ref="AO174:AR174"/>
    <mergeCell ref="C175:X175"/>
    <mergeCell ref="Y175:AF175"/>
    <mergeCell ref="AG175:AJ175"/>
    <mergeCell ref="AK175:AN175"/>
    <mergeCell ref="AO175:AR175"/>
    <mergeCell ref="C170:E170"/>
    <mergeCell ref="F170:AB170"/>
    <mergeCell ref="AC170:AF170"/>
    <mergeCell ref="AG170:AJ170"/>
    <mergeCell ref="AK170:AN170"/>
    <mergeCell ref="AO170:AR170"/>
    <mergeCell ref="C171:E171"/>
    <mergeCell ref="F171:AB171"/>
    <mergeCell ref="AC171:AF171"/>
    <mergeCell ref="AG171:AJ171"/>
    <mergeCell ref="AK171:AN171"/>
    <mergeCell ref="AO171:AR171"/>
    <mergeCell ref="C172:E172"/>
    <mergeCell ref="F172:AB172"/>
    <mergeCell ref="AC172:AF172"/>
    <mergeCell ref="AG172:AJ172"/>
    <mergeCell ref="AK172:AN172"/>
    <mergeCell ref="AO172:AR172"/>
    <mergeCell ref="C167:E167"/>
    <mergeCell ref="F167:AB167"/>
    <mergeCell ref="AC167:AF167"/>
    <mergeCell ref="AG167:AJ167"/>
    <mergeCell ref="AK167:AN167"/>
    <mergeCell ref="AO167:AR167"/>
    <mergeCell ref="C168:E168"/>
    <mergeCell ref="F168:AB168"/>
    <mergeCell ref="AC168:AF168"/>
    <mergeCell ref="AG168:AJ168"/>
    <mergeCell ref="AK168:AN168"/>
    <mergeCell ref="AO168:AR168"/>
    <mergeCell ref="C169:E169"/>
    <mergeCell ref="F169:AB169"/>
    <mergeCell ref="AC169:AF169"/>
    <mergeCell ref="AG169:AJ169"/>
    <mergeCell ref="AK169:AN169"/>
    <mergeCell ref="AO169:AR169"/>
    <mergeCell ref="C162:E162"/>
    <mergeCell ref="F162:U162"/>
    <mergeCell ref="V162:X162"/>
    <mergeCell ref="Y162:AB162"/>
    <mergeCell ref="AC162:AF162"/>
    <mergeCell ref="AG162:AJ162"/>
    <mergeCell ref="AK162:AN162"/>
    <mergeCell ref="AO162:AR162"/>
    <mergeCell ref="C163:X163"/>
    <mergeCell ref="Y163:AN163"/>
    <mergeCell ref="AO163:AR163"/>
    <mergeCell ref="C165:E166"/>
    <mergeCell ref="F165:AB166"/>
    <mergeCell ref="AC165:AF166"/>
    <mergeCell ref="AG165:AJ166"/>
    <mergeCell ref="AK165:AN166"/>
    <mergeCell ref="AO165:AR166"/>
    <mergeCell ref="C159:E159"/>
    <mergeCell ref="F159:U159"/>
    <mergeCell ref="V159:X159"/>
    <mergeCell ref="Y159:AB159"/>
    <mergeCell ref="AC159:AF159"/>
    <mergeCell ref="AG159:AJ159"/>
    <mergeCell ref="AK159:AN159"/>
    <mergeCell ref="AO159:AR159"/>
    <mergeCell ref="C160:E160"/>
    <mergeCell ref="F160:U160"/>
    <mergeCell ref="V160:X160"/>
    <mergeCell ref="Y160:AB160"/>
    <mergeCell ref="AC160:AF160"/>
    <mergeCell ref="AG160:AJ160"/>
    <mergeCell ref="AK160:AN160"/>
    <mergeCell ref="AO160:AR160"/>
    <mergeCell ref="C161:E161"/>
    <mergeCell ref="F161:U161"/>
    <mergeCell ref="V161:X161"/>
    <mergeCell ref="Y161:AB161"/>
    <mergeCell ref="AC161:AF161"/>
    <mergeCell ref="AG161:AJ161"/>
    <mergeCell ref="AK161:AN161"/>
    <mergeCell ref="AO161:AR161"/>
    <mergeCell ref="C156:E156"/>
    <mergeCell ref="F156:U156"/>
    <mergeCell ref="V156:X156"/>
    <mergeCell ref="Y156:AB156"/>
    <mergeCell ref="AC156:AF156"/>
    <mergeCell ref="AG156:AJ156"/>
    <mergeCell ref="AK156:AN156"/>
    <mergeCell ref="AO156:AR156"/>
    <mergeCell ref="C157:E157"/>
    <mergeCell ref="F157:U157"/>
    <mergeCell ref="V157:X157"/>
    <mergeCell ref="Y157:AB157"/>
    <mergeCell ref="AC157:AF157"/>
    <mergeCell ref="AG157:AJ157"/>
    <mergeCell ref="AK157:AN157"/>
    <mergeCell ref="AO157:AR157"/>
    <mergeCell ref="C158:E158"/>
    <mergeCell ref="F158:U158"/>
    <mergeCell ref="V158:X158"/>
    <mergeCell ref="Y158:AB158"/>
    <mergeCell ref="AC158:AF158"/>
    <mergeCell ref="AG158:AJ158"/>
    <mergeCell ref="AK158:AN158"/>
    <mergeCell ref="AO158:AR158"/>
    <mergeCell ref="C153:E154"/>
    <mergeCell ref="F153:U154"/>
    <mergeCell ref="V153:X154"/>
    <mergeCell ref="Y153:AF153"/>
    <mergeCell ref="AG153:AN153"/>
    <mergeCell ref="AO153:AR154"/>
    <mergeCell ref="Y154:AB154"/>
    <mergeCell ref="AC154:AF154"/>
    <mergeCell ref="AG154:AJ154"/>
    <mergeCell ref="AK154:AN154"/>
    <mergeCell ref="C155:E155"/>
    <mergeCell ref="F155:U155"/>
    <mergeCell ref="V155:X155"/>
    <mergeCell ref="Y155:AB155"/>
    <mergeCell ref="AC155:AF155"/>
    <mergeCell ref="AG155:AJ155"/>
    <mergeCell ref="AK155:AN155"/>
    <mergeCell ref="AO155:AR155"/>
    <mergeCell ref="C141:H141"/>
    <mergeCell ref="I141:J141"/>
    <mergeCell ref="K141:Z141"/>
    <mergeCell ref="AA141:AB141"/>
    <mergeCell ref="AC141:AR141"/>
    <mergeCell ref="C143:F143"/>
    <mergeCell ref="G143:AA143"/>
    <mergeCell ref="AB143:AI146"/>
    <mergeCell ref="AJ143:AR146"/>
    <mergeCell ref="C144:F144"/>
    <mergeCell ref="G144:AA144"/>
    <mergeCell ref="C145:F145"/>
    <mergeCell ref="G145:AA145"/>
    <mergeCell ref="C146:AA146"/>
    <mergeCell ref="C148:AR149"/>
    <mergeCell ref="C150:F151"/>
    <mergeCell ref="G150:J151"/>
    <mergeCell ref="K150:N151"/>
    <mergeCell ref="O150:AK151"/>
    <mergeCell ref="AL150:AO151"/>
    <mergeCell ref="AP150:AR151"/>
    <mergeCell ref="C137:H137"/>
    <mergeCell ref="I137:J137"/>
    <mergeCell ref="K137:Z137"/>
    <mergeCell ref="AA137:AB137"/>
    <mergeCell ref="AC137:AR137"/>
    <mergeCell ref="C138:H138"/>
    <mergeCell ref="I138:J138"/>
    <mergeCell ref="K138:Z138"/>
    <mergeCell ref="AA138:AB138"/>
    <mergeCell ref="AC138:AR138"/>
    <mergeCell ref="C139:H139"/>
    <mergeCell ref="I139:J139"/>
    <mergeCell ref="K139:Z139"/>
    <mergeCell ref="AA139:AB139"/>
    <mergeCell ref="AC139:AR139"/>
    <mergeCell ref="C140:H140"/>
    <mergeCell ref="I140:J140"/>
    <mergeCell ref="K140:Z140"/>
    <mergeCell ref="AA140:AB140"/>
    <mergeCell ref="AC140:AR140"/>
    <mergeCell ref="C130:X130"/>
    <mergeCell ref="Y130:AN130"/>
    <mergeCell ref="AO130:AR130"/>
    <mergeCell ref="C132:X134"/>
    <mergeCell ref="Y132:AN132"/>
    <mergeCell ref="AO132:AR132"/>
    <mergeCell ref="Y133:AG133"/>
    <mergeCell ref="AH133:AN133"/>
    <mergeCell ref="AO133:AR133"/>
    <mergeCell ref="A134:B134"/>
    <mergeCell ref="Y134:AN134"/>
    <mergeCell ref="AO134:AR134"/>
    <mergeCell ref="C136:H136"/>
    <mergeCell ref="I136:J136"/>
    <mergeCell ref="K136:Z136"/>
    <mergeCell ref="AA136:AB136"/>
    <mergeCell ref="AC136:AR136"/>
    <mergeCell ref="C128:E128"/>
    <mergeCell ref="F128:R128"/>
    <mergeCell ref="S128:U128"/>
    <mergeCell ref="V128:X128"/>
    <mergeCell ref="Y128:AD128"/>
    <mergeCell ref="AE128:AG128"/>
    <mergeCell ref="AH128:AJ128"/>
    <mergeCell ref="AK128:AN128"/>
    <mergeCell ref="AO128:AR128"/>
    <mergeCell ref="C129:E129"/>
    <mergeCell ref="F129:R129"/>
    <mergeCell ref="S129:U129"/>
    <mergeCell ref="V129:X129"/>
    <mergeCell ref="Y129:AD129"/>
    <mergeCell ref="AE129:AG129"/>
    <mergeCell ref="AH129:AJ129"/>
    <mergeCell ref="AK129:AN129"/>
    <mergeCell ref="AO129:AR129"/>
    <mergeCell ref="C126:E126"/>
    <mergeCell ref="F126:R126"/>
    <mergeCell ref="S126:U126"/>
    <mergeCell ref="V126:X126"/>
    <mergeCell ref="Y126:AD126"/>
    <mergeCell ref="AE126:AG126"/>
    <mergeCell ref="AH126:AJ126"/>
    <mergeCell ref="AK126:AN126"/>
    <mergeCell ref="AO126:AR126"/>
    <mergeCell ref="C127:E127"/>
    <mergeCell ref="F127:R127"/>
    <mergeCell ref="S127:U127"/>
    <mergeCell ref="V127:X127"/>
    <mergeCell ref="Y127:AD127"/>
    <mergeCell ref="AE127:AG127"/>
    <mergeCell ref="AH127:AJ127"/>
    <mergeCell ref="AK127:AN127"/>
    <mergeCell ref="AO127:AR127"/>
    <mergeCell ref="C124:E124"/>
    <mergeCell ref="F124:R124"/>
    <mergeCell ref="S124:U124"/>
    <mergeCell ref="V124:X124"/>
    <mergeCell ref="Y124:AD124"/>
    <mergeCell ref="AE124:AG124"/>
    <mergeCell ref="AH124:AJ124"/>
    <mergeCell ref="AK124:AN124"/>
    <mergeCell ref="AO124:AR124"/>
    <mergeCell ref="C125:E125"/>
    <mergeCell ref="F125:R125"/>
    <mergeCell ref="S125:U125"/>
    <mergeCell ref="V125:X125"/>
    <mergeCell ref="Y125:AD125"/>
    <mergeCell ref="AE125:AG125"/>
    <mergeCell ref="AH125:AJ125"/>
    <mergeCell ref="AK125:AN125"/>
    <mergeCell ref="AO125:AR125"/>
    <mergeCell ref="C122:E122"/>
    <mergeCell ref="F122:R122"/>
    <mergeCell ref="S122:U122"/>
    <mergeCell ref="V122:X122"/>
    <mergeCell ref="Y122:AD122"/>
    <mergeCell ref="AE122:AG122"/>
    <mergeCell ref="AH122:AJ122"/>
    <mergeCell ref="AK122:AN122"/>
    <mergeCell ref="AO122:AR122"/>
    <mergeCell ref="C123:E123"/>
    <mergeCell ref="F123:R123"/>
    <mergeCell ref="S123:U123"/>
    <mergeCell ref="V123:X123"/>
    <mergeCell ref="Y123:AD123"/>
    <mergeCell ref="AE123:AG123"/>
    <mergeCell ref="AH123:AJ123"/>
    <mergeCell ref="AK123:AN123"/>
    <mergeCell ref="AO123:AR123"/>
    <mergeCell ref="C116:E116"/>
    <mergeCell ref="F116:AB116"/>
    <mergeCell ref="AC116:AF116"/>
    <mergeCell ref="AG116:AJ116"/>
    <mergeCell ref="AK116:AN116"/>
    <mergeCell ref="AO116:AR116"/>
    <mergeCell ref="C117:E117"/>
    <mergeCell ref="F117:AB117"/>
    <mergeCell ref="AC117:AF117"/>
    <mergeCell ref="AG117:AJ117"/>
    <mergeCell ref="AK117:AN117"/>
    <mergeCell ref="AO117:AR117"/>
    <mergeCell ref="C118:X118"/>
    <mergeCell ref="Y118:AN118"/>
    <mergeCell ref="AO118:AR118"/>
    <mergeCell ref="C120:E121"/>
    <mergeCell ref="F120:R121"/>
    <mergeCell ref="S120:U121"/>
    <mergeCell ref="V120:X121"/>
    <mergeCell ref="Y120:AD121"/>
    <mergeCell ref="AE120:AG121"/>
    <mergeCell ref="AH120:AJ121"/>
    <mergeCell ref="AK120:AN121"/>
    <mergeCell ref="AO120:AR121"/>
    <mergeCell ref="C113:E113"/>
    <mergeCell ref="F113:AB113"/>
    <mergeCell ref="AC113:AF113"/>
    <mergeCell ref="AG113:AJ113"/>
    <mergeCell ref="AK113:AN113"/>
    <mergeCell ref="AO113:AR113"/>
    <mergeCell ref="C114:E114"/>
    <mergeCell ref="F114:AB114"/>
    <mergeCell ref="AC114:AF114"/>
    <mergeCell ref="AG114:AJ114"/>
    <mergeCell ref="AK114:AN114"/>
    <mergeCell ref="AO114:AR114"/>
    <mergeCell ref="C115:E115"/>
    <mergeCell ref="F115:AB115"/>
    <mergeCell ref="AC115:AF115"/>
    <mergeCell ref="AG115:AJ115"/>
    <mergeCell ref="AK115:AN115"/>
    <mergeCell ref="AO115:AR115"/>
    <mergeCell ref="C110:E110"/>
    <mergeCell ref="F110:AB110"/>
    <mergeCell ref="AC110:AF110"/>
    <mergeCell ref="AG110:AJ110"/>
    <mergeCell ref="AK110:AN110"/>
    <mergeCell ref="AO110:AR110"/>
    <mergeCell ref="C111:E111"/>
    <mergeCell ref="F111:AB111"/>
    <mergeCell ref="AC111:AF111"/>
    <mergeCell ref="AG111:AJ111"/>
    <mergeCell ref="AK111:AN111"/>
    <mergeCell ref="AO111:AR111"/>
    <mergeCell ref="C112:E112"/>
    <mergeCell ref="F112:AB112"/>
    <mergeCell ref="AC112:AF112"/>
    <mergeCell ref="AG112:AJ112"/>
    <mergeCell ref="AK112:AN112"/>
    <mergeCell ref="AO112:AR112"/>
    <mergeCell ref="C103:X103"/>
    <mergeCell ref="Y103:AN103"/>
    <mergeCell ref="AO103:AR103"/>
    <mergeCell ref="C105:X105"/>
    <mergeCell ref="Y105:AN105"/>
    <mergeCell ref="AO105:AR105"/>
    <mergeCell ref="C106:P106"/>
    <mergeCell ref="Q106:U106"/>
    <mergeCell ref="V106:X106"/>
    <mergeCell ref="Y106:AN106"/>
    <mergeCell ref="AO106:AR106"/>
    <mergeCell ref="C108:E109"/>
    <mergeCell ref="F108:AB109"/>
    <mergeCell ref="AC108:AF109"/>
    <mergeCell ref="AG108:AJ109"/>
    <mergeCell ref="AK108:AN109"/>
    <mergeCell ref="AO108:AR109"/>
    <mergeCell ref="C100:E100"/>
    <mergeCell ref="F100:AB100"/>
    <mergeCell ref="AC100:AF100"/>
    <mergeCell ref="AG100:AJ100"/>
    <mergeCell ref="AK100:AN100"/>
    <mergeCell ref="AO100:AR100"/>
    <mergeCell ref="C101:E101"/>
    <mergeCell ref="F101:AB101"/>
    <mergeCell ref="AC101:AF101"/>
    <mergeCell ref="AG101:AJ101"/>
    <mergeCell ref="AK101:AN101"/>
    <mergeCell ref="AO101:AR101"/>
    <mergeCell ref="C102:X102"/>
    <mergeCell ref="Y102:AF102"/>
    <mergeCell ref="AG102:AJ102"/>
    <mergeCell ref="AK102:AN102"/>
    <mergeCell ref="AO102:AR102"/>
    <mergeCell ref="C97:E97"/>
    <mergeCell ref="F97:AB97"/>
    <mergeCell ref="AC97:AF97"/>
    <mergeCell ref="AG97:AJ97"/>
    <mergeCell ref="AK97:AN97"/>
    <mergeCell ref="AO97:AR97"/>
    <mergeCell ref="C98:E98"/>
    <mergeCell ref="F98:AB98"/>
    <mergeCell ref="AC98:AF98"/>
    <mergeCell ref="AG98:AJ98"/>
    <mergeCell ref="AK98:AN98"/>
    <mergeCell ref="AO98:AR98"/>
    <mergeCell ref="C99:E99"/>
    <mergeCell ref="F99:AB99"/>
    <mergeCell ref="AC99:AF99"/>
    <mergeCell ref="AG99:AJ99"/>
    <mergeCell ref="AK99:AN99"/>
    <mergeCell ref="AO99:AR99"/>
    <mergeCell ref="C94:E94"/>
    <mergeCell ref="F94:AB94"/>
    <mergeCell ref="AC94:AF94"/>
    <mergeCell ref="AG94:AJ94"/>
    <mergeCell ref="AK94:AN94"/>
    <mergeCell ref="AO94:AR94"/>
    <mergeCell ref="C95:E95"/>
    <mergeCell ref="F95:AB95"/>
    <mergeCell ref="AC95:AF95"/>
    <mergeCell ref="AG95:AJ95"/>
    <mergeCell ref="AK95:AN95"/>
    <mergeCell ref="AO95:AR95"/>
    <mergeCell ref="C96:E96"/>
    <mergeCell ref="F96:AB96"/>
    <mergeCell ref="AC96:AF96"/>
    <mergeCell ref="AG96:AJ96"/>
    <mergeCell ref="AK96:AN96"/>
    <mergeCell ref="AO96:AR96"/>
    <mergeCell ref="C89:E89"/>
    <mergeCell ref="F89:U89"/>
    <mergeCell ref="V89:X89"/>
    <mergeCell ref="Y89:AB89"/>
    <mergeCell ref="AC89:AF89"/>
    <mergeCell ref="AG89:AJ89"/>
    <mergeCell ref="AK89:AN89"/>
    <mergeCell ref="AO89:AR89"/>
    <mergeCell ref="C90:X90"/>
    <mergeCell ref="Y90:AN90"/>
    <mergeCell ref="AO90:AR90"/>
    <mergeCell ref="C92:E93"/>
    <mergeCell ref="F92:AB93"/>
    <mergeCell ref="AC92:AF93"/>
    <mergeCell ref="AG92:AJ93"/>
    <mergeCell ref="AK92:AN93"/>
    <mergeCell ref="AO92:AR93"/>
    <mergeCell ref="C86:E86"/>
    <mergeCell ref="F86:U86"/>
    <mergeCell ref="V86:X86"/>
    <mergeCell ref="Y86:AB86"/>
    <mergeCell ref="AC86:AF86"/>
    <mergeCell ref="AG86:AJ86"/>
    <mergeCell ref="AK86:AN86"/>
    <mergeCell ref="AO86:AR86"/>
    <mergeCell ref="C87:E87"/>
    <mergeCell ref="F87:U87"/>
    <mergeCell ref="V87:X87"/>
    <mergeCell ref="Y87:AB87"/>
    <mergeCell ref="AC87:AF87"/>
    <mergeCell ref="AG87:AJ87"/>
    <mergeCell ref="AK87:AN87"/>
    <mergeCell ref="AO87:AR87"/>
    <mergeCell ref="C88:E88"/>
    <mergeCell ref="F88:U88"/>
    <mergeCell ref="V88:X88"/>
    <mergeCell ref="Y88:AB88"/>
    <mergeCell ref="AC88:AF88"/>
    <mergeCell ref="AG88:AJ88"/>
    <mergeCell ref="AK88:AN88"/>
    <mergeCell ref="AO88:AR88"/>
    <mergeCell ref="C83:E83"/>
    <mergeCell ref="F83:U83"/>
    <mergeCell ref="V83:X83"/>
    <mergeCell ref="Y83:AB83"/>
    <mergeCell ref="AC83:AF83"/>
    <mergeCell ref="AG83:AJ83"/>
    <mergeCell ref="AK83:AN83"/>
    <mergeCell ref="AO83:AR83"/>
    <mergeCell ref="C84:E84"/>
    <mergeCell ref="F84:U84"/>
    <mergeCell ref="V84:X84"/>
    <mergeCell ref="Y84:AB84"/>
    <mergeCell ref="AC84:AF84"/>
    <mergeCell ref="AG84:AJ84"/>
    <mergeCell ref="AK84:AN84"/>
    <mergeCell ref="AO84:AR84"/>
    <mergeCell ref="C85:E85"/>
    <mergeCell ref="F85:U85"/>
    <mergeCell ref="V85:X85"/>
    <mergeCell ref="Y85:AB85"/>
    <mergeCell ref="AC85:AF85"/>
    <mergeCell ref="AG85:AJ85"/>
    <mergeCell ref="AK85:AN85"/>
    <mergeCell ref="AO85:AR85"/>
    <mergeCell ref="C80:E81"/>
    <mergeCell ref="F80:U81"/>
    <mergeCell ref="V80:X81"/>
    <mergeCell ref="Y80:AF80"/>
    <mergeCell ref="AG80:AN80"/>
    <mergeCell ref="AO80:AR81"/>
    <mergeCell ref="Y81:AB81"/>
    <mergeCell ref="AC81:AF81"/>
    <mergeCell ref="AG81:AJ81"/>
    <mergeCell ref="AK81:AN81"/>
    <mergeCell ref="C82:E82"/>
    <mergeCell ref="F82:U82"/>
    <mergeCell ref="V82:X82"/>
    <mergeCell ref="Y82:AB82"/>
    <mergeCell ref="AC82:AF82"/>
    <mergeCell ref="AG82:AJ82"/>
    <mergeCell ref="AK82:AN82"/>
    <mergeCell ref="AO82:AR82"/>
    <mergeCell ref="C68:H68"/>
    <mergeCell ref="I68:J68"/>
    <mergeCell ref="K68:Z68"/>
    <mergeCell ref="AA68:AB68"/>
    <mergeCell ref="AC68:AR68"/>
    <mergeCell ref="C70:F70"/>
    <mergeCell ref="G70:AA70"/>
    <mergeCell ref="AB70:AI73"/>
    <mergeCell ref="AJ70:AR73"/>
    <mergeCell ref="C71:F71"/>
    <mergeCell ref="G71:AA71"/>
    <mergeCell ref="C72:F72"/>
    <mergeCell ref="G72:AA72"/>
    <mergeCell ref="C73:AA73"/>
    <mergeCell ref="C75:AR76"/>
    <mergeCell ref="C77:F78"/>
    <mergeCell ref="G77:J78"/>
    <mergeCell ref="K77:N78"/>
    <mergeCell ref="O77:AK78"/>
    <mergeCell ref="AL77:AO78"/>
    <mergeCell ref="AP77:AR78"/>
    <mergeCell ref="C64:H64"/>
    <mergeCell ref="I64:J64"/>
    <mergeCell ref="K64:Z64"/>
    <mergeCell ref="AA64:AB64"/>
    <mergeCell ref="AC64:AR64"/>
    <mergeCell ref="C65:H65"/>
    <mergeCell ref="I65:J65"/>
    <mergeCell ref="K65:Z65"/>
    <mergeCell ref="AA65:AB65"/>
    <mergeCell ref="AC65:AR65"/>
    <mergeCell ref="AC66:AR66"/>
    <mergeCell ref="C67:H67"/>
    <mergeCell ref="I67:J67"/>
    <mergeCell ref="K67:Z67"/>
    <mergeCell ref="AA67:AB67"/>
    <mergeCell ref="AC67:AR67"/>
    <mergeCell ref="C66:H66"/>
    <mergeCell ref="I66:J66"/>
    <mergeCell ref="K66:Z66"/>
    <mergeCell ref="AA66:AB66"/>
    <mergeCell ref="C57:X57"/>
    <mergeCell ref="Y57:AN57"/>
    <mergeCell ref="AO57:AR57"/>
    <mergeCell ref="C59:X61"/>
    <mergeCell ref="Y59:AN59"/>
    <mergeCell ref="AO59:AR59"/>
    <mergeCell ref="Y60:AG60"/>
    <mergeCell ref="AH60:AN60"/>
    <mergeCell ref="AO60:AR60"/>
    <mergeCell ref="A61:B61"/>
    <mergeCell ref="Y61:AN61"/>
    <mergeCell ref="AO61:AR61"/>
    <mergeCell ref="C63:H63"/>
    <mergeCell ref="I63:J63"/>
    <mergeCell ref="K63:Z63"/>
    <mergeCell ref="AA63:AB63"/>
    <mergeCell ref="AC63:AR63"/>
    <mergeCell ref="C55:E55"/>
    <mergeCell ref="F55:R55"/>
    <mergeCell ref="S55:U55"/>
    <mergeCell ref="V55:X55"/>
    <mergeCell ref="Y55:AD55"/>
    <mergeCell ref="AE55:AG55"/>
    <mergeCell ref="AH55:AJ55"/>
    <mergeCell ref="AK55:AN55"/>
    <mergeCell ref="AO55:AR55"/>
    <mergeCell ref="C56:E56"/>
    <mergeCell ref="F56:R56"/>
    <mergeCell ref="S56:U56"/>
    <mergeCell ref="V56:X56"/>
    <mergeCell ref="Y56:AD56"/>
    <mergeCell ref="AE56:AG56"/>
    <mergeCell ref="AH56:AJ56"/>
    <mergeCell ref="AK56:AN56"/>
    <mergeCell ref="AO56:AR56"/>
    <mergeCell ref="C53:E53"/>
    <mergeCell ref="F53:R53"/>
    <mergeCell ref="S53:U53"/>
    <mergeCell ref="V53:X53"/>
    <mergeCell ref="Y53:AD53"/>
    <mergeCell ref="AE53:AG53"/>
    <mergeCell ref="AH53:AJ53"/>
    <mergeCell ref="AK53:AN53"/>
    <mergeCell ref="AO53:AR53"/>
    <mergeCell ref="C54:E54"/>
    <mergeCell ref="F54:R54"/>
    <mergeCell ref="S54:U54"/>
    <mergeCell ref="V54:X54"/>
    <mergeCell ref="Y54:AD54"/>
    <mergeCell ref="AE54:AG54"/>
    <mergeCell ref="AH54:AJ54"/>
    <mergeCell ref="AK54:AN54"/>
    <mergeCell ref="AO54:AR54"/>
    <mergeCell ref="C51:E51"/>
    <mergeCell ref="F51:R51"/>
    <mergeCell ref="S51:U51"/>
    <mergeCell ref="V51:X51"/>
    <mergeCell ref="Y51:AD51"/>
    <mergeCell ref="AE51:AG51"/>
    <mergeCell ref="AH51:AJ51"/>
    <mergeCell ref="AK51:AN51"/>
    <mergeCell ref="AO51:AR51"/>
    <mergeCell ref="C52:E52"/>
    <mergeCell ref="F52:R52"/>
    <mergeCell ref="S52:U52"/>
    <mergeCell ref="V52:X52"/>
    <mergeCell ref="Y52:AD52"/>
    <mergeCell ref="AE52:AG52"/>
    <mergeCell ref="AH52:AJ52"/>
    <mergeCell ref="AK52:AN52"/>
    <mergeCell ref="AO52:AR52"/>
    <mergeCell ref="C49:E49"/>
    <mergeCell ref="F49:R49"/>
    <mergeCell ref="S49:U49"/>
    <mergeCell ref="V49:X49"/>
    <mergeCell ref="Y49:AD49"/>
    <mergeCell ref="AE49:AG49"/>
    <mergeCell ref="AH49:AJ49"/>
    <mergeCell ref="AK49:AN49"/>
    <mergeCell ref="AO49:AR49"/>
    <mergeCell ref="C50:E50"/>
    <mergeCell ref="F50:R50"/>
    <mergeCell ref="S50:U50"/>
    <mergeCell ref="V50:X50"/>
    <mergeCell ref="Y50:AD50"/>
    <mergeCell ref="AE50:AG50"/>
    <mergeCell ref="AH50:AJ50"/>
    <mergeCell ref="AK50:AN50"/>
    <mergeCell ref="AO50:AR50"/>
    <mergeCell ref="C43:E43"/>
    <mergeCell ref="F43:AB43"/>
    <mergeCell ref="AC43:AF43"/>
    <mergeCell ref="AG43:AJ43"/>
    <mergeCell ref="AK43:AN43"/>
    <mergeCell ref="AO43:AR43"/>
    <mergeCell ref="C44:E44"/>
    <mergeCell ref="F44:AB44"/>
    <mergeCell ref="AC44:AF44"/>
    <mergeCell ref="AG44:AJ44"/>
    <mergeCell ref="AK44:AN44"/>
    <mergeCell ref="AO44:AR44"/>
    <mergeCell ref="C45:X45"/>
    <mergeCell ref="Y45:AN45"/>
    <mergeCell ref="AO45:AR45"/>
    <mergeCell ref="C47:E48"/>
    <mergeCell ref="F47:R48"/>
    <mergeCell ref="S47:U48"/>
    <mergeCell ref="V47:X48"/>
    <mergeCell ref="Y47:AD48"/>
    <mergeCell ref="AE47:AG48"/>
    <mergeCell ref="AH47:AJ48"/>
    <mergeCell ref="AK47:AN48"/>
    <mergeCell ref="AO47:AR48"/>
    <mergeCell ref="C40:E40"/>
    <mergeCell ref="F40:AB40"/>
    <mergeCell ref="AC40:AF40"/>
    <mergeCell ref="AG40:AJ40"/>
    <mergeCell ref="AK40:AN40"/>
    <mergeCell ref="AO40:AR40"/>
    <mergeCell ref="C41:E41"/>
    <mergeCell ref="F41:AB41"/>
    <mergeCell ref="AC41:AF41"/>
    <mergeCell ref="AG41:AJ41"/>
    <mergeCell ref="AK41:AN41"/>
    <mergeCell ref="AO41:AR41"/>
    <mergeCell ref="C42:E42"/>
    <mergeCell ref="F42:AB42"/>
    <mergeCell ref="AC42:AF42"/>
    <mergeCell ref="AG42:AJ42"/>
    <mergeCell ref="AK42:AN42"/>
    <mergeCell ref="AO42:AR42"/>
    <mergeCell ref="C37:E37"/>
    <mergeCell ref="F37:AB37"/>
    <mergeCell ref="AC37:AF37"/>
    <mergeCell ref="AG37:AJ37"/>
    <mergeCell ref="AK37:AN37"/>
    <mergeCell ref="AO37:AR37"/>
    <mergeCell ref="C38:E38"/>
    <mergeCell ref="F38:AB38"/>
    <mergeCell ref="AC38:AF38"/>
    <mergeCell ref="AG38:AJ38"/>
    <mergeCell ref="AK38:AN38"/>
    <mergeCell ref="AO38:AR38"/>
    <mergeCell ref="C39:E39"/>
    <mergeCell ref="F39:AB39"/>
    <mergeCell ref="AC39:AF39"/>
    <mergeCell ref="AG39:AJ39"/>
    <mergeCell ref="AK39:AN39"/>
    <mergeCell ref="AO39:AR39"/>
    <mergeCell ref="C29:X29"/>
    <mergeCell ref="Y29:AF29"/>
    <mergeCell ref="AG29:AJ29"/>
    <mergeCell ref="AK29:AN29"/>
    <mergeCell ref="AO29:AR29"/>
    <mergeCell ref="C30:X30"/>
    <mergeCell ref="Y30:AN30"/>
    <mergeCell ref="AO30:AR30"/>
    <mergeCell ref="C32:X32"/>
    <mergeCell ref="Y32:AN32"/>
    <mergeCell ref="AO32:AR32"/>
    <mergeCell ref="C33:P33"/>
    <mergeCell ref="Q33:U33"/>
    <mergeCell ref="V33:X33"/>
    <mergeCell ref="Y33:AN33"/>
    <mergeCell ref="AO33:AR33"/>
    <mergeCell ref="C35:E36"/>
    <mergeCell ref="F35:AB36"/>
    <mergeCell ref="AC35:AF36"/>
    <mergeCell ref="AG35:AJ36"/>
    <mergeCell ref="AK35:AN36"/>
    <mergeCell ref="AO35:AR36"/>
    <mergeCell ref="C26:E26"/>
    <mergeCell ref="F26:AB26"/>
    <mergeCell ref="AC26:AF26"/>
    <mergeCell ref="AG26:AJ26"/>
    <mergeCell ref="AK26:AN26"/>
    <mergeCell ref="AO26:AR26"/>
    <mergeCell ref="C27:E27"/>
    <mergeCell ref="F27:AB27"/>
    <mergeCell ref="AC27:AF27"/>
    <mergeCell ref="AG27:AJ27"/>
    <mergeCell ref="AK27:AN27"/>
    <mergeCell ref="AO27:AR27"/>
    <mergeCell ref="C28:E28"/>
    <mergeCell ref="F28:AB28"/>
    <mergeCell ref="AC28:AF28"/>
    <mergeCell ref="AG28:AJ28"/>
    <mergeCell ref="AK28:AN28"/>
    <mergeCell ref="AO28:AR28"/>
    <mergeCell ref="C23:E23"/>
    <mergeCell ref="F23:AB23"/>
    <mergeCell ref="AC23:AF23"/>
    <mergeCell ref="AG23:AJ23"/>
    <mergeCell ref="AK23:AN23"/>
    <mergeCell ref="AO23:AR23"/>
    <mergeCell ref="C24:E24"/>
    <mergeCell ref="F24:AB24"/>
    <mergeCell ref="AC24:AF24"/>
    <mergeCell ref="AG24:AJ24"/>
    <mergeCell ref="AK24:AN24"/>
    <mergeCell ref="AO24:AR24"/>
    <mergeCell ref="C25:E25"/>
    <mergeCell ref="F25:AB25"/>
    <mergeCell ref="AC25:AF25"/>
    <mergeCell ref="AG25:AJ25"/>
    <mergeCell ref="AK25:AN25"/>
    <mergeCell ref="AO25:AR25"/>
    <mergeCell ref="C19:E20"/>
    <mergeCell ref="F19:AB20"/>
    <mergeCell ref="AC19:AF20"/>
    <mergeCell ref="AG19:AJ20"/>
    <mergeCell ref="AK19:AN20"/>
    <mergeCell ref="AO19:AR20"/>
    <mergeCell ref="C21:E21"/>
    <mergeCell ref="F21:AB21"/>
    <mergeCell ref="AC21:AF21"/>
    <mergeCell ref="AG21:AJ21"/>
    <mergeCell ref="AK21:AN21"/>
    <mergeCell ref="AO21:AR21"/>
    <mergeCell ref="C22:E22"/>
    <mergeCell ref="F22:AB22"/>
    <mergeCell ref="AC22:AF22"/>
    <mergeCell ref="AG22:AJ22"/>
    <mergeCell ref="AK22:AN22"/>
    <mergeCell ref="AO22:AR22"/>
    <mergeCell ref="C15:E15"/>
    <mergeCell ref="F15:U15"/>
    <mergeCell ref="V15:X15"/>
    <mergeCell ref="Y15:AB15"/>
    <mergeCell ref="AC15:AF15"/>
    <mergeCell ref="AG15:AJ15"/>
    <mergeCell ref="AK15:AN15"/>
    <mergeCell ref="AO15:AR15"/>
    <mergeCell ref="C16:E16"/>
    <mergeCell ref="F16:U16"/>
    <mergeCell ref="V16:X16"/>
    <mergeCell ref="Y16:AB16"/>
    <mergeCell ref="AC16:AF16"/>
    <mergeCell ref="AG16:AJ16"/>
    <mergeCell ref="AK16:AN16"/>
    <mergeCell ref="AO16:AR16"/>
    <mergeCell ref="C17:X17"/>
    <mergeCell ref="Y17:AN17"/>
    <mergeCell ref="AO17:AR17"/>
    <mergeCell ref="C12:E12"/>
    <mergeCell ref="F12:U12"/>
    <mergeCell ref="V12:X12"/>
    <mergeCell ref="Y12:AB12"/>
    <mergeCell ref="AC12:AF12"/>
    <mergeCell ref="AG12:AJ12"/>
    <mergeCell ref="AK12:AN12"/>
    <mergeCell ref="AO12:AR12"/>
    <mergeCell ref="C13:E13"/>
    <mergeCell ref="F13:U13"/>
    <mergeCell ref="V13:X13"/>
    <mergeCell ref="Y13:AB13"/>
    <mergeCell ref="AC13:AF13"/>
    <mergeCell ref="AG13:AJ13"/>
    <mergeCell ref="AK13:AN13"/>
    <mergeCell ref="AO13:AR13"/>
    <mergeCell ref="C14:E14"/>
    <mergeCell ref="F14:U14"/>
    <mergeCell ref="V14:X14"/>
    <mergeCell ref="Y14:AB14"/>
    <mergeCell ref="AC14:AF14"/>
    <mergeCell ref="AG14:AJ14"/>
    <mergeCell ref="AK14:AN14"/>
    <mergeCell ref="AO14:AR14"/>
    <mergeCell ref="Y9:AB9"/>
    <mergeCell ref="AC9:AF9"/>
    <mergeCell ref="AG9:AJ9"/>
    <mergeCell ref="AK9:AN9"/>
    <mergeCell ref="AO9:AR9"/>
    <mergeCell ref="C10:E10"/>
    <mergeCell ref="F10:U10"/>
    <mergeCell ref="V10:X10"/>
    <mergeCell ref="Y10:AB10"/>
    <mergeCell ref="AC10:AF10"/>
    <mergeCell ref="AG10:AJ10"/>
    <mergeCell ref="AK10:AN10"/>
    <mergeCell ref="AO10:AR10"/>
    <mergeCell ref="C11:E11"/>
    <mergeCell ref="F11:U11"/>
    <mergeCell ref="V11:X11"/>
    <mergeCell ref="Y11:AB11"/>
    <mergeCell ref="AC11:AF11"/>
    <mergeCell ref="AG11:AJ11"/>
    <mergeCell ref="AK11:AN11"/>
    <mergeCell ref="AO11:AR11"/>
    <mergeCell ref="C9:E9"/>
    <mergeCell ref="F9:U9"/>
    <mergeCell ref="V9:X9"/>
    <mergeCell ref="C2:AR3"/>
    <mergeCell ref="C4:F5"/>
    <mergeCell ref="G4:J5"/>
    <mergeCell ref="K4:N5"/>
    <mergeCell ref="O4:AK5"/>
    <mergeCell ref="AL4:AO5"/>
    <mergeCell ref="AP4:AR5"/>
    <mergeCell ref="C7:E8"/>
    <mergeCell ref="F7:U8"/>
    <mergeCell ref="V7:X8"/>
    <mergeCell ref="Y7:AF7"/>
    <mergeCell ref="AG7:AN7"/>
    <mergeCell ref="AO7:AR8"/>
    <mergeCell ref="Y8:AB8"/>
    <mergeCell ref="AC8:AF8"/>
    <mergeCell ref="AG8:AJ8"/>
    <mergeCell ref="AK8:AN8"/>
    <mergeCell ref="C224:F225"/>
    <mergeCell ref="G224:J225"/>
    <mergeCell ref="K224:N225"/>
    <mergeCell ref="O224:AK225"/>
    <mergeCell ref="AL224:AO225"/>
    <mergeCell ref="AP224:AR225"/>
    <mergeCell ref="C222:AR223"/>
    <mergeCell ref="F187:AB187"/>
    <mergeCell ref="AC187:AF187"/>
    <mergeCell ref="AG187:AJ187"/>
    <mergeCell ref="AK187:AN187"/>
    <mergeCell ref="AO187:AR187"/>
    <mergeCell ref="AC188:AF188"/>
    <mergeCell ref="AK188:AN188"/>
    <mergeCell ref="AG188:AJ188"/>
    <mergeCell ref="AO188:AR188"/>
    <mergeCell ref="C186:E186"/>
    <mergeCell ref="F186:AB186"/>
    <mergeCell ref="AC186:AF186"/>
    <mergeCell ref="AG186:AJ186"/>
    <mergeCell ref="AK186:AN186"/>
    <mergeCell ref="AO186:AR186"/>
    <mergeCell ref="C191:E191"/>
    <mergeCell ref="F191:AB191"/>
    <mergeCell ref="AC191:AF191"/>
    <mergeCell ref="AG191:AJ191"/>
    <mergeCell ref="AK191:AN191"/>
    <mergeCell ref="AO191:AR191"/>
    <mergeCell ref="C192:X192"/>
    <mergeCell ref="Y192:AN192"/>
    <mergeCell ref="AO192:AR192"/>
    <mergeCell ref="C194:E195"/>
    <mergeCell ref="AK229:AN229"/>
    <mergeCell ref="AO229:AR229"/>
    <mergeCell ref="C230:E230"/>
    <mergeCell ref="F230:U230"/>
    <mergeCell ref="V230:X230"/>
    <mergeCell ref="Y230:AB230"/>
    <mergeCell ref="AC230:AF230"/>
    <mergeCell ref="AG230:AJ230"/>
    <mergeCell ref="AK230:AN230"/>
    <mergeCell ref="AO230:AR230"/>
    <mergeCell ref="C229:E229"/>
    <mergeCell ref="F229:U229"/>
    <mergeCell ref="V229:X229"/>
    <mergeCell ref="Y229:AB229"/>
    <mergeCell ref="AC229:AF229"/>
    <mergeCell ref="AG229:AJ229"/>
    <mergeCell ref="C227:E228"/>
    <mergeCell ref="F227:U228"/>
    <mergeCell ref="V227:X228"/>
    <mergeCell ref="Y227:AF227"/>
    <mergeCell ref="AG227:AN227"/>
    <mergeCell ref="AO227:AR228"/>
    <mergeCell ref="Y228:AB228"/>
    <mergeCell ref="AC228:AF228"/>
    <mergeCell ref="AG228:AJ228"/>
    <mergeCell ref="AK228:AN228"/>
    <mergeCell ref="AK233:AN233"/>
    <mergeCell ref="AO233:AR233"/>
    <mergeCell ref="C234:E234"/>
    <mergeCell ref="F234:U234"/>
    <mergeCell ref="V234:X234"/>
    <mergeCell ref="Y234:AB234"/>
    <mergeCell ref="AC234:AF234"/>
    <mergeCell ref="AG234:AJ234"/>
    <mergeCell ref="AK234:AN234"/>
    <mergeCell ref="AO234:AR234"/>
    <mergeCell ref="C233:E233"/>
    <mergeCell ref="F233:U233"/>
    <mergeCell ref="V233:X233"/>
    <mergeCell ref="Y233:AB233"/>
    <mergeCell ref="AC233:AF233"/>
    <mergeCell ref="AG233:AJ233"/>
    <mergeCell ref="AK231:AN231"/>
    <mergeCell ref="AO231:AR231"/>
    <mergeCell ref="C232:E232"/>
    <mergeCell ref="F232:U232"/>
    <mergeCell ref="V232:X232"/>
    <mergeCell ref="Y232:AB232"/>
    <mergeCell ref="AC232:AF232"/>
    <mergeCell ref="AG232:AJ232"/>
    <mergeCell ref="AK232:AN232"/>
    <mergeCell ref="AO232:AR232"/>
    <mergeCell ref="C231:E231"/>
    <mergeCell ref="F231:U231"/>
    <mergeCell ref="V231:X231"/>
    <mergeCell ref="Y231:AB231"/>
    <mergeCell ref="AC231:AF231"/>
    <mergeCell ref="AG231:AJ231"/>
    <mergeCell ref="C237:X237"/>
    <mergeCell ref="Y237:AN237"/>
    <mergeCell ref="AO237:AR237"/>
    <mergeCell ref="C239:E240"/>
    <mergeCell ref="F239:AB240"/>
    <mergeCell ref="AC239:AF240"/>
    <mergeCell ref="AG239:AJ240"/>
    <mergeCell ref="AK239:AN240"/>
    <mergeCell ref="AO239:AR240"/>
    <mergeCell ref="AK235:AN235"/>
    <mergeCell ref="AO235:AR235"/>
    <mergeCell ref="C236:E236"/>
    <mergeCell ref="F236:U236"/>
    <mergeCell ref="V236:X236"/>
    <mergeCell ref="Y236:AB236"/>
    <mergeCell ref="AC236:AF236"/>
    <mergeCell ref="AG236:AJ236"/>
    <mergeCell ref="AK236:AN236"/>
    <mergeCell ref="AO236:AR236"/>
    <mergeCell ref="C235:E235"/>
    <mergeCell ref="F235:U235"/>
    <mergeCell ref="V235:X235"/>
    <mergeCell ref="Y235:AB235"/>
    <mergeCell ref="AC235:AF235"/>
    <mergeCell ref="AG235:AJ235"/>
    <mergeCell ref="C243:E243"/>
    <mergeCell ref="F243:AB243"/>
    <mergeCell ref="AC243:AF243"/>
    <mergeCell ref="AG243:AJ243"/>
    <mergeCell ref="AK243:AN243"/>
    <mergeCell ref="AO243:AR243"/>
    <mergeCell ref="C242:E242"/>
    <mergeCell ref="F242:AB242"/>
    <mergeCell ref="AC242:AF242"/>
    <mergeCell ref="AG242:AJ242"/>
    <mergeCell ref="AK242:AN242"/>
    <mergeCell ref="AO242:AR242"/>
    <mergeCell ref="C241:E241"/>
    <mergeCell ref="F241:AB241"/>
    <mergeCell ref="AC241:AF241"/>
    <mergeCell ref="AG241:AJ241"/>
    <mergeCell ref="AK241:AN241"/>
    <mergeCell ref="AO241:AR241"/>
    <mergeCell ref="C246:E246"/>
    <mergeCell ref="F246:AB246"/>
    <mergeCell ref="AC246:AF246"/>
    <mergeCell ref="AG246:AJ246"/>
    <mergeCell ref="AK246:AN246"/>
    <mergeCell ref="AO246:AR246"/>
    <mergeCell ref="C245:E245"/>
    <mergeCell ref="F245:AB245"/>
    <mergeCell ref="AC245:AF245"/>
    <mergeCell ref="AG245:AJ245"/>
    <mergeCell ref="AK245:AN245"/>
    <mergeCell ref="AO245:AR245"/>
    <mergeCell ref="C244:E244"/>
    <mergeCell ref="F244:AB244"/>
    <mergeCell ref="AC244:AF244"/>
    <mergeCell ref="AG244:AJ244"/>
    <mergeCell ref="AK244:AN244"/>
    <mergeCell ref="AO244:AR244"/>
    <mergeCell ref="C249:X249"/>
    <mergeCell ref="Y249:AF249"/>
    <mergeCell ref="AG249:AJ249"/>
    <mergeCell ref="AK249:AN249"/>
    <mergeCell ref="AO249:AR249"/>
    <mergeCell ref="C250:X250"/>
    <mergeCell ref="Y250:AN250"/>
    <mergeCell ref="AO250:AR250"/>
    <mergeCell ref="C248:E248"/>
    <mergeCell ref="F248:AB248"/>
    <mergeCell ref="AC248:AF248"/>
    <mergeCell ref="AG248:AJ248"/>
    <mergeCell ref="AK248:AN248"/>
    <mergeCell ref="AO248:AR248"/>
    <mergeCell ref="C247:E247"/>
    <mergeCell ref="F247:AB247"/>
    <mergeCell ref="AC247:AF247"/>
    <mergeCell ref="AG247:AJ247"/>
    <mergeCell ref="AK247:AN247"/>
    <mergeCell ref="AO247:AR247"/>
    <mergeCell ref="C257:E257"/>
    <mergeCell ref="F257:AB257"/>
    <mergeCell ref="AC257:AF257"/>
    <mergeCell ref="AG257:AJ257"/>
    <mergeCell ref="AK257:AN257"/>
    <mergeCell ref="AO257:AR257"/>
    <mergeCell ref="C255:E256"/>
    <mergeCell ref="F255:AB256"/>
    <mergeCell ref="AC255:AF256"/>
    <mergeCell ref="AG255:AJ256"/>
    <mergeCell ref="AK255:AN256"/>
    <mergeCell ref="AO255:AR256"/>
    <mergeCell ref="C252:X252"/>
    <mergeCell ref="Y252:AN252"/>
    <mergeCell ref="AO252:AR252"/>
    <mergeCell ref="C253:P253"/>
    <mergeCell ref="Q253:U253"/>
    <mergeCell ref="V253:X253"/>
    <mergeCell ref="Y253:AN253"/>
    <mergeCell ref="AO253:AR253"/>
    <mergeCell ref="C260:E260"/>
    <mergeCell ref="F260:AB260"/>
    <mergeCell ref="AC260:AF260"/>
    <mergeCell ref="AG260:AJ260"/>
    <mergeCell ref="AK260:AN260"/>
    <mergeCell ref="AO260:AR260"/>
    <mergeCell ref="C259:E259"/>
    <mergeCell ref="F259:AB259"/>
    <mergeCell ref="AC259:AF259"/>
    <mergeCell ref="AG259:AJ259"/>
    <mergeCell ref="AK259:AN259"/>
    <mergeCell ref="AO259:AR259"/>
    <mergeCell ref="C258:E258"/>
    <mergeCell ref="F258:AB258"/>
    <mergeCell ref="AC258:AF258"/>
    <mergeCell ref="AG258:AJ258"/>
    <mergeCell ref="AK258:AN258"/>
    <mergeCell ref="AO258:AR258"/>
    <mergeCell ref="C263:E263"/>
    <mergeCell ref="F263:AB263"/>
    <mergeCell ref="AC263:AF263"/>
    <mergeCell ref="AG263:AJ263"/>
    <mergeCell ref="AK263:AN263"/>
    <mergeCell ref="AO263:AR263"/>
    <mergeCell ref="C262:E262"/>
    <mergeCell ref="F262:AB262"/>
    <mergeCell ref="AC262:AF262"/>
    <mergeCell ref="AG262:AJ262"/>
    <mergeCell ref="AK262:AN262"/>
    <mergeCell ref="AO262:AR262"/>
    <mergeCell ref="C261:E261"/>
    <mergeCell ref="F261:AB261"/>
    <mergeCell ref="AC261:AF261"/>
    <mergeCell ref="AG261:AJ261"/>
    <mergeCell ref="AK261:AN261"/>
    <mergeCell ref="AO261:AR261"/>
    <mergeCell ref="C266:X266"/>
    <mergeCell ref="Y266:AN266"/>
    <mergeCell ref="AO266:AR266"/>
    <mergeCell ref="C268:E269"/>
    <mergeCell ref="F268:R269"/>
    <mergeCell ref="S268:U269"/>
    <mergeCell ref="V268:X269"/>
    <mergeCell ref="Y268:AD269"/>
    <mergeCell ref="AE268:AG269"/>
    <mergeCell ref="AH268:AJ269"/>
    <mergeCell ref="C265:E265"/>
    <mergeCell ref="F265:AB265"/>
    <mergeCell ref="AC265:AF265"/>
    <mergeCell ref="AG265:AJ265"/>
    <mergeCell ref="AK265:AN265"/>
    <mergeCell ref="AO265:AR265"/>
    <mergeCell ref="C264:E264"/>
    <mergeCell ref="F264:AB264"/>
    <mergeCell ref="AC264:AF264"/>
    <mergeCell ref="AG264:AJ264"/>
    <mergeCell ref="AK264:AN264"/>
    <mergeCell ref="AO264:AR264"/>
    <mergeCell ref="AO270:AR270"/>
    <mergeCell ref="C271:E271"/>
    <mergeCell ref="F271:R271"/>
    <mergeCell ref="S271:U271"/>
    <mergeCell ref="V271:X271"/>
    <mergeCell ref="Y271:AD271"/>
    <mergeCell ref="AE271:AG271"/>
    <mergeCell ref="AH271:AJ271"/>
    <mergeCell ref="AK271:AN271"/>
    <mergeCell ref="AO271:AR271"/>
    <mergeCell ref="AK268:AN269"/>
    <mergeCell ref="AO268:AR269"/>
    <mergeCell ref="C270:E270"/>
    <mergeCell ref="F270:R270"/>
    <mergeCell ref="S270:U270"/>
    <mergeCell ref="V270:X270"/>
    <mergeCell ref="Y270:AD270"/>
    <mergeCell ref="AE270:AG270"/>
    <mergeCell ref="AH270:AJ270"/>
    <mergeCell ref="AK270:AN270"/>
    <mergeCell ref="AK273:AN273"/>
    <mergeCell ref="AO273:AR273"/>
    <mergeCell ref="C274:E274"/>
    <mergeCell ref="F274:R274"/>
    <mergeCell ref="S274:U274"/>
    <mergeCell ref="V274:X274"/>
    <mergeCell ref="Y274:AD274"/>
    <mergeCell ref="AE274:AG274"/>
    <mergeCell ref="AH274:AJ274"/>
    <mergeCell ref="AK274:AN274"/>
    <mergeCell ref="AH272:AJ272"/>
    <mergeCell ref="AK272:AN272"/>
    <mergeCell ref="AO272:AR272"/>
    <mergeCell ref="C273:E273"/>
    <mergeCell ref="F273:R273"/>
    <mergeCell ref="S273:U273"/>
    <mergeCell ref="V273:X273"/>
    <mergeCell ref="Y273:AD273"/>
    <mergeCell ref="AE273:AG273"/>
    <mergeCell ref="AH273:AJ273"/>
    <mergeCell ref="C272:E272"/>
    <mergeCell ref="F272:R272"/>
    <mergeCell ref="S272:U272"/>
    <mergeCell ref="V272:X272"/>
    <mergeCell ref="Y272:AD272"/>
    <mergeCell ref="AE272:AG272"/>
    <mergeCell ref="AH276:AJ276"/>
    <mergeCell ref="AK276:AN276"/>
    <mergeCell ref="AO276:AR276"/>
    <mergeCell ref="C277:E277"/>
    <mergeCell ref="F277:R277"/>
    <mergeCell ref="S277:U277"/>
    <mergeCell ref="V277:X277"/>
    <mergeCell ref="Y277:AD277"/>
    <mergeCell ref="AE277:AG277"/>
    <mergeCell ref="AH277:AJ277"/>
    <mergeCell ref="C276:E276"/>
    <mergeCell ref="F276:R276"/>
    <mergeCell ref="S276:U276"/>
    <mergeCell ref="V276:X276"/>
    <mergeCell ref="Y276:AD276"/>
    <mergeCell ref="AE276:AG276"/>
    <mergeCell ref="AO274:AR274"/>
    <mergeCell ref="C275:E275"/>
    <mergeCell ref="F275:R275"/>
    <mergeCell ref="S275:U275"/>
    <mergeCell ref="V275:X275"/>
    <mergeCell ref="Y275:AD275"/>
    <mergeCell ref="AE275:AG275"/>
    <mergeCell ref="AH275:AJ275"/>
    <mergeCell ref="AK275:AN275"/>
    <mergeCell ref="AO275:AR275"/>
    <mergeCell ref="AO281:AR281"/>
    <mergeCell ref="A282:B282"/>
    <mergeCell ref="Y282:AN282"/>
    <mergeCell ref="AO282:AR282"/>
    <mergeCell ref="C284:H284"/>
    <mergeCell ref="I284:J284"/>
    <mergeCell ref="K284:Z284"/>
    <mergeCell ref="AA284:AB284"/>
    <mergeCell ref="AC284:AR284"/>
    <mergeCell ref="AK277:AN277"/>
    <mergeCell ref="AO277:AR277"/>
    <mergeCell ref="C278:X278"/>
    <mergeCell ref="Y278:AN278"/>
    <mergeCell ref="AO278:AR278"/>
    <mergeCell ref="C280:X282"/>
    <mergeCell ref="Y280:AN280"/>
    <mergeCell ref="AO280:AR280"/>
    <mergeCell ref="Y281:AG281"/>
    <mergeCell ref="AH281:AN281"/>
    <mergeCell ref="C287:H287"/>
    <mergeCell ref="I287:J287"/>
    <mergeCell ref="K287:Z287"/>
    <mergeCell ref="AA287:AB287"/>
    <mergeCell ref="AC287:AR287"/>
    <mergeCell ref="C288:H288"/>
    <mergeCell ref="I288:J288"/>
    <mergeCell ref="K288:Z288"/>
    <mergeCell ref="AA288:AB288"/>
    <mergeCell ref="AC288:AR288"/>
    <mergeCell ref="C285:H285"/>
    <mergeCell ref="I285:J285"/>
    <mergeCell ref="K285:Z285"/>
    <mergeCell ref="AA285:AB285"/>
    <mergeCell ref="AC285:AR285"/>
    <mergeCell ref="C286:H286"/>
    <mergeCell ref="I286:J286"/>
    <mergeCell ref="K286:Z286"/>
    <mergeCell ref="AA286:AB286"/>
    <mergeCell ref="AC286:AR286"/>
    <mergeCell ref="G292:AA292"/>
    <mergeCell ref="C293:F293"/>
    <mergeCell ref="G293:AA293"/>
    <mergeCell ref="C294:AA294"/>
    <mergeCell ref="C296:AR297"/>
    <mergeCell ref="C298:F299"/>
    <mergeCell ref="G298:J299"/>
    <mergeCell ref="K298:N299"/>
    <mergeCell ref="O298:AK299"/>
    <mergeCell ref="AL298:AO299"/>
    <mergeCell ref="C289:H289"/>
    <mergeCell ref="I289:J289"/>
    <mergeCell ref="K289:Z289"/>
    <mergeCell ref="AA289:AB289"/>
    <mergeCell ref="AC289:AR289"/>
    <mergeCell ref="C291:F291"/>
    <mergeCell ref="G291:AA291"/>
    <mergeCell ref="AB291:AI294"/>
    <mergeCell ref="AJ291:AR294"/>
    <mergeCell ref="C292:F292"/>
    <mergeCell ref="AK302:AN302"/>
    <mergeCell ref="C303:E303"/>
    <mergeCell ref="F303:U303"/>
    <mergeCell ref="V303:X303"/>
    <mergeCell ref="Y303:AB303"/>
    <mergeCell ref="AC303:AF303"/>
    <mergeCell ref="AG303:AJ303"/>
    <mergeCell ref="AK303:AN303"/>
    <mergeCell ref="AP298:AR299"/>
    <mergeCell ref="C301:E302"/>
    <mergeCell ref="F301:U302"/>
    <mergeCell ref="V301:X302"/>
    <mergeCell ref="Y301:AF301"/>
    <mergeCell ref="AG301:AN301"/>
    <mergeCell ref="AO301:AR302"/>
    <mergeCell ref="Y302:AB302"/>
    <mergeCell ref="AC302:AF302"/>
    <mergeCell ref="AG302:AJ302"/>
    <mergeCell ref="AK305:AN305"/>
    <mergeCell ref="AO305:AR305"/>
    <mergeCell ref="C306:E306"/>
    <mergeCell ref="F306:U306"/>
    <mergeCell ref="V306:X306"/>
    <mergeCell ref="Y306:AB306"/>
    <mergeCell ref="AC306:AF306"/>
    <mergeCell ref="AG306:AJ306"/>
    <mergeCell ref="AK306:AN306"/>
    <mergeCell ref="AO306:AR306"/>
    <mergeCell ref="C305:E305"/>
    <mergeCell ref="F305:U305"/>
    <mergeCell ref="V305:X305"/>
    <mergeCell ref="Y305:AB305"/>
    <mergeCell ref="AC305:AF305"/>
    <mergeCell ref="AG305:AJ305"/>
    <mergeCell ref="AO303:AR303"/>
    <mergeCell ref="C304:E304"/>
    <mergeCell ref="F304:U304"/>
    <mergeCell ref="V304:X304"/>
    <mergeCell ref="Y304:AB304"/>
    <mergeCell ref="AC304:AF304"/>
    <mergeCell ref="AG304:AJ304"/>
    <mergeCell ref="AK304:AN304"/>
    <mergeCell ref="AO304:AR304"/>
    <mergeCell ref="AK309:AN309"/>
    <mergeCell ref="AO309:AR309"/>
    <mergeCell ref="C310:E310"/>
    <mergeCell ref="F310:U310"/>
    <mergeCell ref="V310:X310"/>
    <mergeCell ref="Y310:AB310"/>
    <mergeCell ref="AC310:AF310"/>
    <mergeCell ref="AG310:AJ310"/>
    <mergeCell ref="AK310:AN310"/>
    <mergeCell ref="AO310:AR310"/>
    <mergeCell ref="C309:E309"/>
    <mergeCell ref="F309:U309"/>
    <mergeCell ref="V309:X309"/>
    <mergeCell ref="Y309:AB309"/>
    <mergeCell ref="AC309:AF309"/>
    <mergeCell ref="AG309:AJ309"/>
    <mergeCell ref="AK307:AN307"/>
    <mergeCell ref="AO307:AR307"/>
    <mergeCell ref="C308:E308"/>
    <mergeCell ref="F308:U308"/>
    <mergeCell ref="V308:X308"/>
    <mergeCell ref="Y308:AB308"/>
    <mergeCell ref="AC308:AF308"/>
    <mergeCell ref="AG308:AJ308"/>
    <mergeCell ref="AK308:AN308"/>
    <mergeCell ref="AO308:AR308"/>
    <mergeCell ref="C307:E307"/>
    <mergeCell ref="F307:U307"/>
    <mergeCell ref="V307:X307"/>
    <mergeCell ref="Y307:AB307"/>
    <mergeCell ref="AC307:AF307"/>
    <mergeCell ref="AG307:AJ307"/>
    <mergeCell ref="C316:E316"/>
    <mergeCell ref="F316:AB316"/>
    <mergeCell ref="AC316:AF316"/>
    <mergeCell ref="AG316:AJ316"/>
    <mergeCell ref="AK316:AN316"/>
    <mergeCell ref="AO316:AR316"/>
    <mergeCell ref="C315:E315"/>
    <mergeCell ref="F315:AB315"/>
    <mergeCell ref="AC315:AF315"/>
    <mergeCell ref="AG315:AJ315"/>
    <mergeCell ref="AK315:AN315"/>
    <mergeCell ref="AO315:AR315"/>
    <mergeCell ref="C311:X311"/>
    <mergeCell ref="Y311:AN311"/>
    <mergeCell ref="AO311:AR311"/>
    <mergeCell ref="C313:E314"/>
    <mergeCell ref="F313:AB314"/>
    <mergeCell ref="AC313:AF314"/>
    <mergeCell ref="AG313:AJ314"/>
    <mergeCell ref="AK313:AN314"/>
    <mergeCell ref="AO313:AR314"/>
    <mergeCell ref="C319:E319"/>
    <mergeCell ref="F319:AB319"/>
    <mergeCell ref="AC319:AF319"/>
    <mergeCell ref="AG319:AJ319"/>
    <mergeCell ref="AK319:AN319"/>
    <mergeCell ref="AO319:AR319"/>
    <mergeCell ref="C318:E318"/>
    <mergeCell ref="F318:AB318"/>
    <mergeCell ref="AC318:AF318"/>
    <mergeCell ref="AG318:AJ318"/>
    <mergeCell ref="AK318:AN318"/>
    <mergeCell ref="AO318:AR318"/>
    <mergeCell ref="C317:E317"/>
    <mergeCell ref="F317:AB317"/>
    <mergeCell ref="AC317:AF317"/>
    <mergeCell ref="AG317:AJ317"/>
    <mergeCell ref="AK317:AN317"/>
    <mergeCell ref="AO317:AR317"/>
    <mergeCell ref="C322:E322"/>
    <mergeCell ref="F322:AB322"/>
    <mergeCell ref="AC322:AF322"/>
    <mergeCell ref="AG322:AJ322"/>
    <mergeCell ref="AK322:AN322"/>
    <mergeCell ref="AO322:AR322"/>
    <mergeCell ref="C321:E321"/>
    <mergeCell ref="F321:AB321"/>
    <mergeCell ref="AC321:AF321"/>
    <mergeCell ref="AG321:AJ321"/>
    <mergeCell ref="AK321:AN321"/>
    <mergeCell ref="AO321:AR321"/>
    <mergeCell ref="C320:E320"/>
    <mergeCell ref="F320:AB320"/>
    <mergeCell ref="AC320:AF320"/>
    <mergeCell ref="AG320:AJ320"/>
    <mergeCell ref="AK320:AN320"/>
    <mergeCell ref="AO320:AR320"/>
    <mergeCell ref="C329:E330"/>
    <mergeCell ref="F329:AB330"/>
    <mergeCell ref="AC329:AF330"/>
    <mergeCell ref="AG329:AJ330"/>
    <mergeCell ref="AK329:AN330"/>
    <mergeCell ref="AO329:AR330"/>
    <mergeCell ref="C326:X326"/>
    <mergeCell ref="Y326:AN326"/>
    <mergeCell ref="AO326:AR326"/>
    <mergeCell ref="C327:P327"/>
    <mergeCell ref="Q327:U327"/>
    <mergeCell ref="V327:X327"/>
    <mergeCell ref="Y327:AN327"/>
    <mergeCell ref="AO327:AR327"/>
    <mergeCell ref="C323:X323"/>
    <mergeCell ref="Y323:AF323"/>
    <mergeCell ref="AG323:AJ323"/>
    <mergeCell ref="AK323:AN323"/>
    <mergeCell ref="AO323:AR323"/>
    <mergeCell ref="C324:X324"/>
    <mergeCell ref="Y324:AN324"/>
    <mergeCell ref="AO324:AR324"/>
    <mergeCell ref="C333:E333"/>
    <mergeCell ref="F333:AB333"/>
    <mergeCell ref="AC333:AF333"/>
    <mergeCell ref="AG333:AJ333"/>
    <mergeCell ref="AK333:AN333"/>
    <mergeCell ref="AO333:AR333"/>
    <mergeCell ref="C332:E332"/>
    <mergeCell ref="F332:AB332"/>
    <mergeCell ref="AC332:AF332"/>
    <mergeCell ref="AG332:AJ332"/>
    <mergeCell ref="AK332:AN332"/>
    <mergeCell ref="AO332:AR332"/>
    <mergeCell ref="C331:E331"/>
    <mergeCell ref="F331:AB331"/>
    <mergeCell ref="AC331:AF331"/>
    <mergeCell ref="AG331:AJ331"/>
    <mergeCell ref="AK331:AN331"/>
    <mergeCell ref="AO331:AR331"/>
    <mergeCell ref="C336:E336"/>
    <mergeCell ref="F336:AB336"/>
    <mergeCell ref="AC336:AF336"/>
    <mergeCell ref="AG336:AJ336"/>
    <mergeCell ref="AK336:AN336"/>
    <mergeCell ref="AO336:AR336"/>
    <mergeCell ref="C335:E335"/>
    <mergeCell ref="F335:AB335"/>
    <mergeCell ref="AC335:AF335"/>
    <mergeCell ref="AG335:AJ335"/>
    <mergeCell ref="AK335:AN335"/>
    <mergeCell ref="AO335:AR335"/>
    <mergeCell ref="C334:E334"/>
    <mergeCell ref="F334:AB334"/>
    <mergeCell ref="AC334:AF334"/>
    <mergeCell ref="AG334:AJ334"/>
    <mergeCell ref="AK334:AN334"/>
    <mergeCell ref="AO334:AR334"/>
    <mergeCell ref="C339:E339"/>
    <mergeCell ref="F339:AB339"/>
    <mergeCell ref="AC339:AF339"/>
    <mergeCell ref="AG339:AJ339"/>
    <mergeCell ref="AK339:AN339"/>
    <mergeCell ref="AO339:AR339"/>
    <mergeCell ref="C338:E338"/>
    <mergeCell ref="F338:AB338"/>
    <mergeCell ref="AC338:AF338"/>
    <mergeCell ref="AG338:AJ338"/>
    <mergeCell ref="AK338:AN338"/>
    <mergeCell ref="AO338:AR338"/>
    <mergeCell ref="C337:E337"/>
    <mergeCell ref="F337:AB337"/>
    <mergeCell ref="AC337:AF337"/>
    <mergeCell ref="AG337:AJ337"/>
    <mergeCell ref="AK337:AN337"/>
    <mergeCell ref="AO337:AR337"/>
    <mergeCell ref="AK342:AN343"/>
    <mergeCell ref="AO342:AR343"/>
    <mergeCell ref="C344:E344"/>
    <mergeCell ref="F344:R344"/>
    <mergeCell ref="S344:U344"/>
    <mergeCell ref="V344:X344"/>
    <mergeCell ref="Y344:AD344"/>
    <mergeCell ref="AE344:AG344"/>
    <mergeCell ref="AH344:AJ344"/>
    <mergeCell ref="AK344:AN344"/>
    <mergeCell ref="C340:X340"/>
    <mergeCell ref="Y340:AN340"/>
    <mergeCell ref="AO340:AR340"/>
    <mergeCell ref="C342:E343"/>
    <mergeCell ref="F342:R343"/>
    <mergeCell ref="S342:U343"/>
    <mergeCell ref="V342:X343"/>
    <mergeCell ref="Y342:AD343"/>
    <mergeCell ref="AE342:AG343"/>
    <mergeCell ref="AH342:AJ343"/>
    <mergeCell ref="AH346:AJ346"/>
    <mergeCell ref="AK346:AN346"/>
    <mergeCell ref="AO346:AR346"/>
    <mergeCell ref="C347:E347"/>
    <mergeCell ref="F347:R347"/>
    <mergeCell ref="S347:U347"/>
    <mergeCell ref="V347:X347"/>
    <mergeCell ref="Y347:AD347"/>
    <mergeCell ref="AE347:AG347"/>
    <mergeCell ref="AH347:AJ347"/>
    <mergeCell ref="C346:E346"/>
    <mergeCell ref="F346:R346"/>
    <mergeCell ref="S346:U346"/>
    <mergeCell ref="V346:X346"/>
    <mergeCell ref="Y346:AD346"/>
    <mergeCell ref="AE346:AG346"/>
    <mergeCell ref="AO344:AR344"/>
    <mergeCell ref="C345:E345"/>
    <mergeCell ref="F345:R345"/>
    <mergeCell ref="S345:U345"/>
    <mergeCell ref="V345:X345"/>
    <mergeCell ref="Y345:AD345"/>
    <mergeCell ref="AE345:AG345"/>
    <mergeCell ref="AH345:AJ345"/>
    <mergeCell ref="AK345:AN345"/>
    <mergeCell ref="AO345:AR345"/>
    <mergeCell ref="AO348:AR348"/>
    <mergeCell ref="C349:E349"/>
    <mergeCell ref="F349:R349"/>
    <mergeCell ref="S349:U349"/>
    <mergeCell ref="V349:X349"/>
    <mergeCell ref="Y349:AD349"/>
    <mergeCell ref="AE349:AG349"/>
    <mergeCell ref="AH349:AJ349"/>
    <mergeCell ref="AK349:AN349"/>
    <mergeCell ref="AO349:AR349"/>
    <mergeCell ref="AK347:AN347"/>
    <mergeCell ref="AO347:AR347"/>
    <mergeCell ref="C348:E348"/>
    <mergeCell ref="F348:R348"/>
    <mergeCell ref="S348:U348"/>
    <mergeCell ref="V348:X348"/>
    <mergeCell ref="Y348:AD348"/>
    <mergeCell ref="AE348:AG348"/>
    <mergeCell ref="AH348:AJ348"/>
    <mergeCell ref="AK348:AN348"/>
    <mergeCell ref="AK351:AN351"/>
    <mergeCell ref="AO351:AR351"/>
    <mergeCell ref="C352:X352"/>
    <mergeCell ref="Y352:AN352"/>
    <mergeCell ref="AO352:AR352"/>
    <mergeCell ref="C354:X356"/>
    <mergeCell ref="Y354:AN354"/>
    <mergeCell ref="AO354:AR354"/>
    <mergeCell ref="Y355:AG355"/>
    <mergeCell ref="AH355:AN355"/>
    <mergeCell ref="AH350:AJ350"/>
    <mergeCell ref="AK350:AN350"/>
    <mergeCell ref="AO350:AR350"/>
    <mergeCell ref="C351:E351"/>
    <mergeCell ref="F351:R351"/>
    <mergeCell ref="S351:U351"/>
    <mergeCell ref="V351:X351"/>
    <mergeCell ref="Y351:AD351"/>
    <mergeCell ref="AE351:AG351"/>
    <mergeCell ref="AH351:AJ351"/>
    <mergeCell ref="C350:E350"/>
    <mergeCell ref="F350:R350"/>
    <mergeCell ref="S350:U350"/>
    <mergeCell ref="V350:X350"/>
    <mergeCell ref="Y350:AD350"/>
    <mergeCell ref="AE350:AG350"/>
    <mergeCell ref="C359:H359"/>
    <mergeCell ref="I359:J359"/>
    <mergeCell ref="K359:Z359"/>
    <mergeCell ref="AA359:AB359"/>
    <mergeCell ref="AC359:AR359"/>
    <mergeCell ref="C360:H360"/>
    <mergeCell ref="I360:J360"/>
    <mergeCell ref="K360:Z360"/>
    <mergeCell ref="AA360:AB360"/>
    <mergeCell ref="AC360:AR360"/>
    <mergeCell ref="AO355:AR355"/>
    <mergeCell ref="A356:B356"/>
    <mergeCell ref="Y356:AN356"/>
    <mergeCell ref="AO356:AR356"/>
    <mergeCell ref="C358:H358"/>
    <mergeCell ref="I358:J358"/>
    <mergeCell ref="K358:Z358"/>
    <mergeCell ref="AA358:AB358"/>
    <mergeCell ref="AC358:AR358"/>
    <mergeCell ref="C363:H363"/>
    <mergeCell ref="I363:J363"/>
    <mergeCell ref="K363:Z363"/>
    <mergeCell ref="AA363:AB363"/>
    <mergeCell ref="AC363:AR363"/>
    <mergeCell ref="C365:F365"/>
    <mergeCell ref="G365:AA365"/>
    <mergeCell ref="AB365:AI368"/>
    <mergeCell ref="AJ365:AR368"/>
    <mergeCell ref="C366:F366"/>
    <mergeCell ref="G366:AA366"/>
    <mergeCell ref="C367:F367"/>
    <mergeCell ref="G367:AA367"/>
    <mergeCell ref="C368:AA368"/>
    <mergeCell ref="C361:H361"/>
    <mergeCell ref="I361:J361"/>
    <mergeCell ref="K361:Z361"/>
    <mergeCell ref="AA361:AB361"/>
    <mergeCell ref="AC361:AR361"/>
    <mergeCell ref="C362:H362"/>
    <mergeCell ref="I362:J362"/>
    <mergeCell ref="K362:Z362"/>
    <mergeCell ref="AA362:AB362"/>
    <mergeCell ref="AC362:AR362"/>
  </mergeCells>
  <phoneticPr fontId="0" type="noConversion"/>
  <printOptions horizontalCentered="1" verticalCentered="1"/>
  <pageMargins left="0.78740157480314965" right="0.59055118110236227" top="0.78740157480314965" bottom="0.39370078740157483" header="0" footer="0"/>
  <pageSetup paperSize="9" scale="51" orientation="portrait" horizontalDpi="300" verticalDpi="300" r:id="rId1"/>
  <headerFooter alignWithMargins="0"/>
  <rowBreaks count="4" manualBreakCount="4">
    <brk id="73" min="2" max="43" man="1"/>
    <brk id="146" min="2" max="43" man="1"/>
    <brk id="220" min="2" max="43" man="1"/>
    <brk id="294" min="2" max="4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2:AW1460"/>
  <sheetViews>
    <sheetView showGridLines="0" showZeros="0" view="pageBreakPreview" topLeftCell="A1336" zoomScale="60" zoomScaleNormal="67" zoomScaleSheetLayoutView="67" workbookViewId="0">
      <selection activeCell="C1352" sqref="C1352:E1352"/>
    </sheetView>
  </sheetViews>
  <sheetFormatPr defaultColWidth="3.7109375" defaultRowHeight="18" customHeight="1"/>
  <cols>
    <col min="1" max="2" width="9.140625" style="7" customWidth="1"/>
    <col min="3" max="5" width="5.42578125" style="7" customWidth="1"/>
    <col min="6" max="20" width="3.7109375" style="7" customWidth="1"/>
    <col min="21" max="21" width="3.42578125" style="7" customWidth="1"/>
    <col min="22" max="29" width="3.7109375" style="7" customWidth="1"/>
    <col min="30" max="30" width="3.5703125" style="7" customWidth="1"/>
    <col min="31" max="31" width="4.7109375" style="7" customWidth="1"/>
    <col min="32" max="32" width="3.85546875" style="7" customWidth="1"/>
    <col min="33" max="33" width="4.28515625" style="7" customWidth="1"/>
    <col min="34" max="36" width="3.85546875" style="7" customWidth="1"/>
    <col min="37" max="40" width="3.42578125" style="7" customWidth="1"/>
    <col min="41" max="48" width="3.7109375" style="7"/>
    <col min="49" max="49" width="11.5703125" style="7" bestFit="1" customWidth="1"/>
    <col min="50" max="16384" width="3.7109375" style="7"/>
  </cols>
  <sheetData>
    <row r="2" spans="3:44" ht="18" customHeight="1">
      <c r="C2" s="850" t="s">
        <v>64</v>
      </c>
      <c r="D2" s="851"/>
      <c r="E2" s="851"/>
      <c r="F2" s="851"/>
      <c r="G2" s="851"/>
      <c r="H2" s="851"/>
      <c r="I2" s="851"/>
      <c r="J2" s="851"/>
      <c r="K2" s="851"/>
      <c r="L2" s="851"/>
      <c r="M2" s="851"/>
      <c r="N2" s="851"/>
      <c r="O2" s="851"/>
      <c r="P2" s="851"/>
      <c r="Q2" s="851"/>
      <c r="R2" s="851"/>
      <c r="S2" s="851"/>
      <c r="T2" s="851"/>
      <c r="U2" s="851"/>
      <c r="V2" s="851"/>
      <c r="W2" s="851"/>
      <c r="X2" s="851"/>
      <c r="Y2" s="851"/>
      <c r="Z2" s="851"/>
      <c r="AA2" s="851"/>
      <c r="AB2" s="851"/>
      <c r="AC2" s="851"/>
      <c r="AD2" s="851"/>
      <c r="AE2" s="851"/>
      <c r="AF2" s="851"/>
      <c r="AG2" s="851"/>
      <c r="AH2" s="851"/>
      <c r="AI2" s="851"/>
      <c r="AJ2" s="851"/>
      <c r="AK2" s="851"/>
      <c r="AL2" s="851"/>
      <c r="AM2" s="851"/>
      <c r="AN2" s="851"/>
      <c r="AO2" s="851"/>
      <c r="AP2" s="851"/>
      <c r="AQ2" s="851"/>
      <c r="AR2" s="852"/>
    </row>
    <row r="3" spans="3:44" ht="18" customHeight="1">
      <c r="C3" s="853"/>
      <c r="D3" s="854"/>
      <c r="E3" s="854"/>
      <c r="F3" s="854"/>
      <c r="G3" s="854"/>
      <c r="H3" s="854"/>
      <c r="I3" s="854"/>
      <c r="J3" s="854"/>
      <c r="K3" s="854"/>
      <c r="L3" s="854"/>
      <c r="M3" s="854"/>
      <c r="N3" s="854"/>
      <c r="O3" s="854"/>
      <c r="P3" s="854"/>
      <c r="Q3" s="854"/>
      <c r="R3" s="854"/>
      <c r="S3" s="854"/>
      <c r="T3" s="854"/>
      <c r="U3" s="854"/>
      <c r="V3" s="854"/>
      <c r="W3" s="854"/>
      <c r="X3" s="854"/>
      <c r="Y3" s="854"/>
      <c r="Z3" s="854"/>
      <c r="AA3" s="854"/>
      <c r="AB3" s="854"/>
      <c r="AC3" s="854"/>
      <c r="AD3" s="854"/>
      <c r="AE3" s="854"/>
      <c r="AF3" s="854"/>
      <c r="AG3" s="854"/>
      <c r="AH3" s="854"/>
      <c r="AI3" s="854"/>
      <c r="AJ3" s="854"/>
      <c r="AK3" s="854"/>
      <c r="AL3" s="854"/>
      <c r="AM3" s="854"/>
      <c r="AN3" s="854"/>
      <c r="AO3" s="854"/>
      <c r="AP3" s="854"/>
      <c r="AQ3" s="854"/>
      <c r="AR3" s="855"/>
    </row>
    <row r="4" spans="3:44" ht="18" customHeight="1">
      <c r="C4" s="856" t="s">
        <v>65</v>
      </c>
      <c r="D4" s="857"/>
      <c r="E4" s="857"/>
      <c r="F4" s="857"/>
      <c r="G4" s="860" t="s">
        <v>367</v>
      </c>
      <c r="H4" s="860"/>
      <c r="I4" s="860"/>
      <c r="J4" s="861"/>
      <c r="K4" s="864" t="s">
        <v>66</v>
      </c>
      <c r="L4" s="865"/>
      <c r="M4" s="865"/>
      <c r="N4" s="865"/>
      <c r="O4" s="522" t="s">
        <v>368</v>
      </c>
      <c r="P4" s="523"/>
      <c r="Q4" s="523"/>
      <c r="R4" s="523"/>
      <c r="S4" s="523"/>
      <c r="T4" s="523"/>
      <c r="U4" s="523"/>
      <c r="V4" s="523"/>
      <c r="W4" s="523"/>
      <c r="X4" s="523"/>
      <c r="Y4" s="523"/>
      <c r="Z4" s="523"/>
      <c r="AA4" s="523"/>
      <c r="AB4" s="523"/>
      <c r="AC4" s="523"/>
      <c r="AD4" s="523"/>
      <c r="AE4" s="523"/>
      <c r="AF4" s="523"/>
      <c r="AG4" s="523"/>
      <c r="AH4" s="523"/>
      <c r="AI4" s="523"/>
      <c r="AJ4" s="523"/>
      <c r="AK4" s="523"/>
      <c r="AL4" s="864" t="s">
        <v>67</v>
      </c>
      <c r="AM4" s="865"/>
      <c r="AN4" s="865"/>
      <c r="AO4" s="865"/>
      <c r="AP4" s="843" t="s">
        <v>194</v>
      </c>
      <c r="AQ4" s="843"/>
      <c r="AR4" s="844"/>
    </row>
    <row r="5" spans="3:44" ht="18" customHeight="1">
      <c r="C5" s="858"/>
      <c r="D5" s="859"/>
      <c r="E5" s="859"/>
      <c r="F5" s="859"/>
      <c r="G5" s="862"/>
      <c r="H5" s="862"/>
      <c r="I5" s="862"/>
      <c r="J5" s="863"/>
      <c r="K5" s="866"/>
      <c r="L5" s="867"/>
      <c r="M5" s="867"/>
      <c r="N5" s="867"/>
      <c r="O5" s="524"/>
      <c r="P5" s="525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  <c r="AC5" s="525"/>
      <c r="AD5" s="525"/>
      <c r="AE5" s="525"/>
      <c r="AF5" s="525"/>
      <c r="AG5" s="525"/>
      <c r="AH5" s="525"/>
      <c r="AI5" s="525"/>
      <c r="AJ5" s="525"/>
      <c r="AK5" s="525"/>
      <c r="AL5" s="866"/>
      <c r="AM5" s="867"/>
      <c r="AN5" s="867"/>
      <c r="AO5" s="867"/>
      <c r="AP5" s="845"/>
      <c r="AQ5" s="845"/>
      <c r="AR5" s="846"/>
    </row>
    <row r="7" spans="3:44" ht="18" customHeight="1">
      <c r="C7" s="794" t="s">
        <v>43</v>
      </c>
      <c r="D7" s="774"/>
      <c r="E7" s="775"/>
      <c r="F7" s="773" t="s">
        <v>68</v>
      </c>
      <c r="G7" s="774"/>
      <c r="H7" s="774"/>
      <c r="I7" s="774"/>
      <c r="J7" s="774"/>
      <c r="K7" s="774"/>
      <c r="L7" s="774"/>
      <c r="M7" s="774"/>
      <c r="N7" s="774"/>
      <c r="O7" s="774"/>
      <c r="P7" s="774"/>
      <c r="Q7" s="774"/>
      <c r="R7" s="774"/>
      <c r="S7" s="774"/>
      <c r="T7" s="774"/>
      <c r="U7" s="775"/>
      <c r="V7" s="773" t="s">
        <v>249</v>
      </c>
      <c r="W7" s="774"/>
      <c r="X7" s="775"/>
      <c r="Y7" s="847" t="s">
        <v>69</v>
      </c>
      <c r="Z7" s="848"/>
      <c r="AA7" s="848"/>
      <c r="AB7" s="848"/>
      <c r="AC7" s="848"/>
      <c r="AD7" s="848"/>
      <c r="AE7" s="848"/>
      <c r="AF7" s="849"/>
      <c r="AG7" s="847" t="s">
        <v>70</v>
      </c>
      <c r="AH7" s="848"/>
      <c r="AI7" s="848"/>
      <c r="AJ7" s="848"/>
      <c r="AK7" s="848"/>
      <c r="AL7" s="848"/>
      <c r="AM7" s="848"/>
      <c r="AN7" s="849"/>
      <c r="AO7" s="773" t="s">
        <v>71</v>
      </c>
      <c r="AP7" s="774"/>
      <c r="AQ7" s="774"/>
      <c r="AR7" s="779"/>
    </row>
    <row r="8" spans="3:44" ht="18" customHeight="1">
      <c r="C8" s="795"/>
      <c r="D8" s="777"/>
      <c r="E8" s="778"/>
      <c r="F8" s="776"/>
      <c r="G8" s="777"/>
      <c r="H8" s="777"/>
      <c r="I8" s="777"/>
      <c r="J8" s="777"/>
      <c r="K8" s="777"/>
      <c r="L8" s="777"/>
      <c r="M8" s="777"/>
      <c r="N8" s="777"/>
      <c r="O8" s="777"/>
      <c r="P8" s="777"/>
      <c r="Q8" s="777"/>
      <c r="R8" s="777"/>
      <c r="S8" s="777"/>
      <c r="T8" s="777"/>
      <c r="U8" s="778"/>
      <c r="V8" s="776"/>
      <c r="W8" s="777"/>
      <c r="X8" s="778"/>
      <c r="Y8" s="834" t="s">
        <v>72</v>
      </c>
      <c r="Z8" s="835"/>
      <c r="AA8" s="835"/>
      <c r="AB8" s="836"/>
      <c r="AC8" s="834" t="s">
        <v>73</v>
      </c>
      <c r="AD8" s="835"/>
      <c r="AE8" s="835"/>
      <c r="AF8" s="836"/>
      <c r="AG8" s="834" t="s">
        <v>72</v>
      </c>
      <c r="AH8" s="835"/>
      <c r="AI8" s="835"/>
      <c r="AJ8" s="836"/>
      <c r="AK8" s="834" t="s">
        <v>73</v>
      </c>
      <c r="AL8" s="835"/>
      <c r="AM8" s="835"/>
      <c r="AN8" s="836"/>
      <c r="AO8" s="776"/>
      <c r="AP8" s="777"/>
      <c r="AQ8" s="777"/>
      <c r="AR8" s="780"/>
    </row>
    <row r="9" spans="3:44" ht="18" customHeight="1">
      <c r="C9" s="781"/>
      <c r="D9" s="782"/>
      <c r="E9" s="783"/>
      <c r="F9" s="493"/>
      <c r="G9" s="493"/>
      <c r="H9" s="493"/>
      <c r="I9" s="493"/>
      <c r="J9" s="493"/>
      <c r="K9" s="493"/>
      <c r="L9" s="493"/>
      <c r="M9" s="493"/>
      <c r="N9" s="493"/>
      <c r="O9" s="493"/>
      <c r="P9" s="493"/>
      <c r="Q9" s="493"/>
      <c r="R9" s="493"/>
      <c r="S9" s="493"/>
      <c r="T9" s="493"/>
      <c r="U9" s="493"/>
      <c r="V9" s="837"/>
      <c r="W9" s="838"/>
      <c r="X9" s="839"/>
      <c r="Y9" s="837"/>
      <c r="Z9" s="838"/>
      <c r="AA9" s="838"/>
      <c r="AB9" s="839"/>
      <c r="AC9" s="868"/>
      <c r="AD9" s="869"/>
      <c r="AE9" s="869"/>
      <c r="AF9" s="870"/>
      <c r="AG9" s="491"/>
      <c r="AH9" s="491"/>
      <c r="AI9" s="491"/>
      <c r="AJ9" s="491"/>
      <c r="AK9" s="491"/>
      <c r="AL9" s="491"/>
      <c r="AM9" s="491"/>
      <c r="AN9" s="491"/>
      <c r="AO9" s="491"/>
      <c r="AP9" s="491"/>
      <c r="AQ9" s="491"/>
      <c r="AR9" s="492"/>
    </row>
    <row r="10" spans="3:44" ht="18" customHeight="1">
      <c r="C10" s="758"/>
      <c r="D10" s="759"/>
      <c r="E10" s="760"/>
      <c r="F10" s="493"/>
      <c r="G10" s="493"/>
      <c r="H10" s="493"/>
      <c r="I10" s="493"/>
      <c r="J10" s="493"/>
      <c r="K10" s="493"/>
      <c r="L10" s="493"/>
      <c r="M10" s="493"/>
      <c r="N10" s="493"/>
      <c r="O10" s="493"/>
      <c r="P10" s="493"/>
      <c r="Q10" s="493"/>
      <c r="R10" s="493"/>
      <c r="S10" s="493"/>
      <c r="T10" s="493"/>
      <c r="U10" s="493"/>
      <c r="V10" s="466"/>
      <c r="W10" s="467"/>
      <c r="X10" s="468"/>
      <c r="Y10" s="466"/>
      <c r="Z10" s="467"/>
      <c r="AA10" s="467"/>
      <c r="AB10" s="468"/>
      <c r="AC10" s="828"/>
      <c r="AD10" s="829"/>
      <c r="AE10" s="829"/>
      <c r="AF10" s="830"/>
      <c r="AG10" s="491"/>
      <c r="AH10" s="491"/>
      <c r="AI10" s="491"/>
      <c r="AJ10" s="491"/>
      <c r="AK10" s="491"/>
      <c r="AL10" s="491"/>
      <c r="AM10" s="491"/>
      <c r="AN10" s="491"/>
      <c r="AO10" s="491"/>
      <c r="AP10" s="491"/>
      <c r="AQ10" s="491"/>
      <c r="AR10" s="492"/>
    </row>
    <row r="11" spans="3:44" ht="18" customHeight="1">
      <c r="C11" s="758"/>
      <c r="D11" s="759"/>
      <c r="E11" s="760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3"/>
      <c r="Q11" s="493"/>
      <c r="R11" s="493"/>
      <c r="S11" s="493"/>
      <c r="T11" s="493"/>
      <c r="U11" s="493"/>
      <c r="V11" s="466"/>
      <c r="W11" s="467"/>
      <c r="X11" s="468"/>
      <c r="Y11" s="466"/>
      <c r="Z11" s="467"/>
      <c r="AA11" s="467"/>
      <c r="AB11" s="468"/>
      <c r="AC11" s="828"/>
      <c r="AD11" s="829"/>
      <c r="AE11" s="829"/>
      <c r="AF11" s="830"/>
      <c r="AG11" s="491"/>
      <c r="AH11" s="491"/>
      <c r="AI11" s="491"/>
      <c r="AJ11" s="491"/>
      <c r="AK11" s="491"/>
      <c r="AL11" s="491"/>
      <c r="AM11" s="491"/>
      <c r="AN11" s="491"/>
      <c r="AO11" s="491"/>
      <c r="AP11" s="491"/>
      <c r="AQ11" s="491"/>
      <c r="AR11" s="492"/>
    </row>
    <row r="12" spans="3:44" ht="18" customHeight="1">
      <c r="C12" s="758"/>
      <c r="D12" s="759"/>
      <c r="E12" s="760"/>
      <c r="F12" s="493"/>
      <c r="G12" s="493"/>
      <c r="H12" s="493"/>
      <c r="I12" s="493"/>
      <c r="J12" s="493"/>
      <c r="K12" s="493"/>
      <c r="L12" s="493"/>
      <c r="M12" s="493"/>
      <c r="N12" s="493"/>
      <c r="O12" s="493"/>
      <c r="P12" s="493"/>
      <c r="Q12" s="493"/>
      <c r="R12" s="493"/>
      <c r="S12" s="493"/>
      <c r="T12" s="493"/>
      <c r="U12" s="493"/>
      <c r="V12" s="466"/>
      <c r="W12" s="467"/>
      <c r="X12" s="468"/>
      <c r="Y12" s="466"/>
      <c r="Z12" s="467"/>
      <c r="AA12" s="467"/>
      <c r="AB12" s="468"/>
      <c r="AC12" s="828"/>
      <c r="AD12" s="829"/>
      <c r="AE12" s="829"/>
      <c r="AF12" s="830"/>
      <c r="AG12" s="491"/>
      <c r="AH12" s="491"/>
      <c r="AI12" s="491"/>
      <c r="AJ12" s="491"/>
      <c r="AK12" s="491"/>
      <c r="AL12" s="491"/>
      <c r="AM12" s="491"/>
      <c r="AN12" s="491"/>
      <c r="AO12" s="491"/>
      <c r="AP12" s="491"/>
      <c r="AQ12" s="491"/>
      <c r="AR12" s="492"/>
    </row>
    <row r="13" spans="3:44" ht="18" customHeight="1">
      <c r="C13" s="758"/>
      <c r="D13" s="759"/>
      <c r="E13" s="760"/>
      <c r="F13" s="493"/>
      <c r="G13" s="493"/>
      <c r="H13" s="493"/>
      <c r="I13" s="493"/>
      <c r="J13" s="493"/>
      <c r="K13" s="493"/>
      <c r="L13" s="493"/>
      <c r="M13" s="493"/>
      <c r="N13" s="493"/>
      <c r="O13" s="493"/>
      <c r="P13" s="493"/>
      <c r="Q13" s="493"/>
      <c r="R13" s="493"/>
      <c r="S13" s="493"/>
      <c r="T13" s="493"/>
      <c r="U13" s="493"/>
      <c r="V13" s="466"/>
      <c r="W13" s="467"/>
      <c r="X13" s="468"/>
      <c r="Y13" s="466"/>
      <c r="Z13" s="467"/>
      <c r="AA13" s="467"/>
      <c r="AB13" s="468"/>
      <c r="AC13" s="828"/>
      <c r="AD13" s="829"/>
      <c r="AE13" s="829"/>
      <c r="AF13" s="830"/>
      <c r="AG13" s="491"/>
      <c r="AH13" s="491"/>
      <c r="AI13" s="491"/>
      <c r="AJ13" s="491"/>
      <c r="AK13" s="491"/>
      <c r="AL13" s="491"/>
      <c r="AM13" s="491"/>
      <c r="AN13" s="491"/>
      <c r="AO13" s="491"/>
      <c r="AP13" s="491"/>
      <c r="AQ13" s="491"/>
      <c r="AR13" s="492"/>
    </row>
    <row r="14" spans="3:44" ht="18" customHeight="1">
      <c r="C14" s="758"/>
      <c r="D14" s="759"/>
      <c r="E14" s="760"/>
      <c r="F14" s="493"/>
      <c r="G14" s="493"/>
      <c r="H14" s="493"/>
      <c r="I14" s="493"/>
      <c r="J14" s="493"/>
      <c r="K14" s="493"/>
      <c r="L14" s="493"/>
      <c r="M14" s="493"/>
      <c r="N14" s="493"/>
      <c r="O14" s="493"/>
      <c r="P14" s="493"/>
      <c r="Q14" s="493"/>
      <c r="R14" s="493"/>
      <c r="S14" s="493"/>
      <c r="T14" s="493"/>
      <c r="U14" s="493"/>
      <c r="V14" s="466"/>
      <c r="W14" s="467"/>
      <c r="X14" s="468"/>
      <c r="Y14" s="466"/>
      <c r="Z14" s="467"/>
      <c r="AA14" s="467"/>
      <c r="AB14" s="468"/>
      <c r="AC14" s="828"/>
      <c r="AD14" s="829"/>
      <c r="AE14" s="829"/>
      <c r="AF14" s="830"/>
      <c r="AG14" s="491"/>
      <c r="AH14" s="491"/>
      <c r="AI14" s="491"/>
      <c r="AJ14" s="491"/>
      <c r="AK14" s="491"/>
      <c r="AL14" s="491"/>
      <c r="AM14" s="491"/>
      <c r="AN14" s="491"/>
      <c r="AO14" s="491"/>
      <c r="AP14" s="491"/>
      <c r="AQ14" s="491"/>
      <c r="AR14" s="492"/>
    </row>
    <row r="15" spans="3:44" ht="18" customHeight="1">
      <c r="C15" s="758"/>
      <c r="D15" s="759"/>
      <c r="E15" s="760"/>
      <c r="F15" s="796"/>
      <c r="G15" s="797"/>
      <c r="H15" s="797"/>
      <c r="I15" s="797"/>
      <c r="J15" s="797"/>
      <c r="K15" s="797"/>
      <c r="L15" s="797"/>
      <c r="M15" s="797"/>
      <c r="N15" s="797"/>
      <c r="O15" s="797"/>
      <c r="P15" s="797"/>
      <c r="Q15" s="797"/>
      <c r="R15" s="797"/>
      <c r="S15" s="797"/>
      <c r="T15" s="797"/>
      <c r="U15" s="798"/>
      <c r="V15" s="466"/>
      <c r="W15" s="467"/>
      <c r="X15" s="468"/>
      <c r="Y15" s="466"/>
      <c r="Z15" s="467"/>
      <c r="AA15" s="467"/>
      <c r="AB15" s="468"/>
      <c r="AC15" s="828"/>
      <c r="AD15" s="829"/>
      <c r="AE15" s="829"/>
      <c r="AF15" s="830"/>
      <c r="AG15" s="466"/>
      <c r="AH15" s="467"/>
      <c r="AI15" s="467"/>
      <c r="AJ15" s="468"/>
      <c r="AK15" s="466"/>
      <c r="AL15" s="467"/>
      <c r="AM15" s="467"/>
      <c r="AN15" s="468"/>
      <c r="AO15" s="466"/>
      <c r="AP15" s="467"/>
      <c r="AQ15" s="467"/>
      <c r="AR15" s="823"/>
    </row>
    <row r="16" spans="3:44" ht="18" customHeight="1">
      <c r="C16" s="758"/>
      <c r="D16" s="759"/>
      <c r="E16" s="760"/>
      <c r="F16" s="796"/>
      <c r="G16" s="797"/>
      <c r="H16" s="797"/>
      <c r="I16" s="797"/>
      <c r="J16" s="797"/>
      <c r="K16" s="797"/>
      <c r="L16" s="797"/>
      <c r="M16" s="797"/>
      <c r="N16" s="797"/>
      <c r="O16" s="797"/>
      <c r="P16" s="797"/>
      <c r="Q16" s="797"/>
      <c r="R16" s="797"/>
      <c r="S16" s="797"/>
      <c r="T16" s="797"/>
      <c r="U16" s="798"/>
      <c r="V16" s="466"/>
      <c r="W16" s="467"/>
      <c r="X16" s="468"/>
      <c r="Y16" s="466"/>
      <c r="Z16" s="467"/>
      <c r="AA16" s="467"/>
      <c r="AB16" s="468"/>
      <c r="AC16" s="828"/>
      <c r="AD16" s="829"/>
      <c r="AE16" s="829"/>
      <c r="AF16" s="830"/>
      <c r="AG16" s="466"/>
      <c r="AH16" s="467"/>
      <c r="AI16" s="467"/>
      <c r="AJ16" s="468"/>
      <c r="AK16" s="466"/>
      <c r="AL16" s="467"/>
      <c r="AM16" s="467"/>
      <c r="AN16" s="468"/>
      <c r="AO16" s="466"/>
      <c r="AP16" s="467"/>
      <c r="AQ16" s="467"/>
      <c r="AR16" s="823"/>
    </row>
    <row r="17" spans="3:44" ht="18" customHeight="1">
      <c r="C17" s="743"/>
      <c r="D17" s="744"/>
      <c r="E17" s="744"/>
      <c r="F17" s="744"/>
      <c r="G17" s="744"/>
      <c r="H17" s="744"/>
      <c r="I17" s="744"/>
      <c r="J17" s="744"/>
      <c r="K17" s="744"/>
      <c r="L17" s="744"/>
      <c r="M17" s="744"/>
      <c r="N17" s="744"/>
      <c r="O17" s="744"/>
      <c r="P17" s="744"/>
      <c r="Q17" s="744"/>
      <c r="R17" s="744"/>
      <c r="S17" s="744"/>
      <c r="T17" s="744"/>
      <c r="U17" s="744"/>
      <c r="V17" s="744"/>
      <c r="W17" s="744"/>
      <c r="X17" s="824"/>
      <c r="Y17" s="825" t="s">
        <v>74</v>
      </c>
      <c r="Z17" s="826"/>
      <c r="AA17" s="826"/>
      <c r="AB17" s="826"/>
      <c r="AC17" s="826"/>
      <c r="AD17" s="826"/>
      <c r="AE17" s="826"/>
      <c r="AF17" s="826"/>
      <c r="AG17" s="826"/>
      <c r="AH17" s="826"/>
      <c r="AI17" s="826"/>
      <c r="AJ17" s="826"/>
      <c r="AK17" s="826"/>
      <c r="AL17" s="826"/>
      <c r="AM17" s="826"/>
      <c r="AN17" s="827"/>
      <c r="AO17" s="477">
        <f>SUM(AO9:AR16)</f>
        <v>0</v>
      </c>
      <c r="AP17" s="746"/>
      <c r="AQ17" s="746"/>
      <c r="AR17" s="747"/>
    </row>
    <row r="19" spans="3:44" ht="18" customHeight="1">
      <c r="C19" s="794" t="s">
        <v>43</v>
      </c>
      <c r="D19" s="774"/>
      <c r="E19" s="775"/>
      <c r="F19" s="773" t="s">
        <v>75</v>
      </c>
      <c r="G19" s="774"/>
      <c r="H19" s="774"/>
      <c r="I19" s="774"/>
      <c r="J19" s="774"/>
      <c r="K19" s="774"/>
      <c r="L19" s="774"/>
      <c r="M19" s="774"/>
      <c r="N19" s="774"/>
      <c r="O19" s="774"/>
      <c r="P19" s="774"/>
      <c r="Q19" s="774"/>
      <c r="R19" s="774"/>
      <c r="S19" s="774"/>
      <c r="T19" s="774"/>
      <c r="U19" s="774"/>
      <c r="V19" s="774"/>
      <c r="W19" s="774"/>
      <c r="X19" s="774"/>
      <c r="Y19" s="774"/>
      <c r="Z19" s="774"/>
      <c r="AA19" s="774"/>
      <c r="AB19" s="775"/>
      <c r="AC19" s="773" t="s">
        <v>76</v>
      </c>
      <c r="AD19" s="774"/>
      <c r="AE19" s="774"/>
      <c r="AF19" s="775"/>
      <c r="AG19" s="773" t="s">
        <v>249</v>
      </c>
      <c r="AH19" s="774"/>
      <c r="AI19" s="774"/>
      <c r="AJ19" s="775"/>
      <c r="AK19" s="773" t="s">
        <v>77</v>
      </c>
      <c r="AL19" s="774"/>
      <c r="AM19" s="774"/>
      <c r="AN19" s="775"/>
      <c r="AO19" s="773" t="s">
        <v>71</v>
      </c>
      <c r="AP19" s="774"/>
      <c r="AQ19" s="774"/>
      <c r="AR19" s="779"/>
    </row>
    <row r="20" spans="3:44" ht="18" customHeight="1">
      <c r="C20" s="795"/>
      <c r="D20" s="777"/>
      <c r="E20" s="778"/>
      <c r="F20" s="776"/>
      <c r="G20" s="777"/>
      <c r="H20" s="777"/>
      <c r="I20" s="777"/>
      <c r="J20" s="777"/>
      <c r="K20" s="777"/>
      <c r="L20" s="777"/>
      <c r="M20" s="777"/>
      <c r="N20" s="777"/>
      <c r="O20" s="777"/>
      <c r="P20" s="777"/>
      <c r="Q20" s="777"/>
      <c r="R20" s="777"/>
      <c r="S20" s="777"/>
      <c r="T20" s="777"/>
      <c r="U20" s="777"/>
      <c r="V20" s="777"/>
      <c r="W20" s="777"/>
      <c r="X20" s="777"/>
      <c r="Y20" s="777"/>
      <c r="Z20" s="777"/>
      <c r="AA20" s="777"/>
      <c r="AB20" s="778"/>
      <c r="AC20" s="776"/>
      <c r="AD20" s="777"/>
      <c r="AE20" s="777"/>
      <c r="AF20" s="778"/>
      <c r="AG20" s="776"/>
      <c r="AH20" s="777"/>
      <c r="AI20" s="777"/>
      <c r="AJ20" s="778"/>
      <c r="AK20" s="776"/>
      <c r="AL20" s="777"/>
      <c r="AM20" s="777"/>
      <c r="AN20" s="778"/>
      <c r="AO20" s="776"/>
      <c r="AP20" s="777"/>
      <c r="AQ20" s="777"/>
      <c r="AR20" s="780"/>
    </row>
    <row r="21" spans="3:44" ht="18" customHeight="1">
      <c r="C21" s="781" t="s">
        <v>940</v>
      </c>
      <c r="D21" s="782"/>
      <c r="E21" s="783"/>
      <c r="F21" s="493" t="s">
        <v>105</v>
      </c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770"/>
      <c r="AD21" s="771"/>
      <c r="AE21" s="771"/>
      <c r="AF21" s="790"/>
      <c r="AG21" s="770">
        <v>2</v>
      </c>
      <c r="AH21" s="771"/>
      <c r="AI21" s="771"/>
      <c r="AJ21" s="790"/>
      <c r="AK21" s="449">
        <f>VLOOKUP(C21,[4]MÃODEOBRA!A$1:D$65536,4,FALSE)</f>
        <v>22.98488</v>
      </c>
      <c r="AL21" s="449"/>
      <c r="AM21" s="449"/>
      <c r="AN21" s="449"/>
      <c r="AO21" s="491">
        <f>ROUND(AG21*AK21,2)</f>
        <v>45.97</v>
      </c>
      <c r="AP21" s="491"/>
      <c r="AQ21" s="491"/>
      <c r="AR21" s="492"/>
    </row>
    <row r="22" spans="3:44" ht="18" customHeight="1">
      <c r="C22" s="758"/>
      <c r="D22" s="759"/>
      <c r="E22" s="760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740"/>
      <c r="AD22" s="741"/>
      <c r="AE22" s="741"/>
      <c r="AF22" s="757"/>
      <c r="AG22" s="740"/>
      <c r="AH22" s="741"/>
      <c r="AI22" s="741"/>
      <c r="AJ22" s="757"/>
      <c r="AK22" s="449"/>
      <c r="AL22" s="449"/>
      <c r="AM22" s="449"/>
      <c r="AN22" s="449"/>
      <c r="AO22" s="491"/>
      <c r="AP22" s="491"/>
      <c r="AQ22" s="491"/>
      <c r="AR22" s="492"/>
    </row>
    <row r="23" spans="3:44" ht="18" customHeight="1">
      <c r="C23" s="758"/>
      <c r="D23" s="759"/>
      <c r="E23" s="760"/>
      <c r="F23" s="796"/>
      <c r="G23" s="797"/>
      <c r="H23" s="797"/>
      <c r="I23" s="797"/>
      <c r="J23" s="797"/>
      <c r="K23" s="797"/>
      <c r="L23" s="797"/>
      <c r="M23" s="797"/>
      <c r="N23" s="797"/>
      <c r="O23" s="797"/>
      <c r="P23" s="797"/>
      <c r="Q23" s="797"/>
      <c r="R23" s="797"/>
      <c r="S23" s="797"/>
      <c r="T23" s="797"/>
      <c r="U23" s="797"/>
      <c r="V23" s="797"/>
      <c r="W23" s="797"/>
      <c r="X23" s="797"/>
      <c r="Y23" s="797"/>
      <c r="Z23" s="797"/>
      <c r="AA23" s="797"/>
      <c r="AB23" s="798"/>
      <c r="AC23" s="740"/>
      <c r="AD23" s="741"/>
      <c r="AE23" s="741"/>
      <c r="AF23" s="757"/>
      <c r="AG23" s="740"/>
      <c r="AH23" s="741"/>
      <c r="AI23" s="741"/>
      <c r="AJ23" s="757"/>
      <c r="AK23" s="740"/>
      <c r="AL23" s="741"/>
      <c r="AM23" s="741"/>
      <c r="AN23" s="757"/>
      <c r="AO23" s="466"/>
      <c r="AP23" s="467"/>
      <c r="AQ23" s="467"/>
      <c r="AR23" s="823"/>
    </row>
    <row r="24" spans="3:44" ht="18" customHeight="1">
      <c r="C24" s="758"/>
      <c r="D24" s="759"/>
      <c r="E24" s="760"/>
      <c r="F24" s="796"/>
      <c r="G24" s="797"/>
      <c r="H24" s="797"/>
      <c r="I24" s="797"/>
      <c r="J24" s="797"/>
      <c r="K24" s="797"/>
      <c r="L24" s="797"/>
      <c r="M24" s="797"/>
      <c r="N24" s="797"/>
      <c r="O24" s="797"/>
      <c r="P24" s="797"/>
      <c r="Q24" s="797"/>
      <c r="R24" s="797"/>
      <c r="S24" s="797"/>
      <c r="T24" s="797"/>
      <c r="U24" s="797"/>
      <c r="V24" s="797"/>
      <c r="W24" s="797"/>
      <c r="X24" s="797"/>
      <c r="Y24" s="797"/>
      <c r="Z24" s="797"/>
      <c r="AA24" s="797"/>
      <c r="AB24" s="798"/>
      <c r="AC24" s="740"/>
      <c r="AD24" s="741"/>
      <c r="AE24" s="741"/>
      <c r="AF24" s="757"/>
      <c r="AG24" s="740"/>
      <c r="AH24" s="741"/>
      <c r="AI24" s="741"/>
      <c r="AJ24" s="757"/>
      <c r="AK24" s="740"/>
      <c r="AL24" s="741"/>
      <c r="AM24" s="741"/>
      <c r="AN24" s="757"/>
      <c r="AO24" s="466"/>
      <c r="AP24" s="467"/>
      <c r="AQ24" s="467"/>
      <c r="AR24" s="823"/>
    </row>
    <row r="25" spans="3:44" ht="18" customHeight="1">
      <c r="C25" s="758"/>
      <c r="D25" s="759"/>
      <c r="E25" s="760"/>
      <c r="F25" s="796"/>
      <c r="G25" s="797"/>
      <c r="H25" s="797"/>
      <c r="I25" s="797"/>
      <c r="J25" s="797"/>
      <c r="K25" s="797"/>
      <c r="L25" s="797"/>
      <c r="M25" s="797"/>
      <c r="N25" s="797"/>
      <c r="O25" s="797"/>
      <c r="P25" s="797"/>
      <c r="Q25" s="797"/>
      <c r="R25" s="797"/>
      <c r="S25" s="797"/>
      <c r="T25" s="797"/>
      <c r="U25" s="797"/>
      <c r="V25" s="797"/>
      <c r="W25" s="797"/>
      <c r="X25" s="797"/>
      <c r="Y25" s="797"/>
      <c r="Z25" s="797"/>
      <c r="AA25" s="797"/>
      <c r="AB25" s="798"/>
      <c r="AC25" s="740"/>
      <c r="AD25" s="741"/>
      <c r="AE25" s="741"/>
      <c r="AF25" s="757"/>
      <c r="AG25" s="740"/>
      <c r="AH25" s="741"/>
      <c r="AI25" s="741"/>
      <c r="AJ25" s="757"/>
      <c r="AK25" s="740"/>
      <c r="AL25" s="741"/>
      <c r="AM25" s="741"/>
      <c r="AN25" s="757"/>
      <c r="AO25" s="466"/>
      <c r="AP25" s="467"/>
      <c r="AQ25" s="467"/>
      <c r="AR25" s="823"/>
    </row>
    <row r="26" spans="3:44" ht="18" customHeight="1">
      <c r="C26" s="758"/>
      <c r="D26" s="759"/>
      <c r="E26" s="760"/>
      <c r="F26" s="796"/>
      <c r="G26" s="797"/>
      <c r="H26" s="797"/>
      <c r="I26" s="797"/>
      <c r="J26" s="797"/>
      <c r="K26" s="797"/>
      <c r="L26" s="797"/>
      <c r="M26" s="797"/>
      <c r="N26" s="797"/>
      <c r="O26" s="797"/>
      <c r="P26" s="797"/>
      <c r="Q26" s="797"/>
      <c r="R26" s="797"/>
      <c r="S26" s="797"/>
      <c r="T26" s="797"/>
      <c r="U26" s="797"/>
      <c r="V26" s="797"/>
      <c r="W26" s="797"/>
      <c r="X26" s="797"/>
      <c r="Y26" s="797"/>
      <c r="Z26" s="797"/>
      <c r="AA26" s="797"/>
      <c r="AB26" s="798"/>
      <c r="AC26" s="740"/>
      <c r="AD26" s="741"/>
      <c r="AE26" s="741"/>
      <c r="AF26" s="757"/>
      <c r="AG26" s="740"/>
      <c r="AH26" s="741"/>
      <c r="AI26" s="741"/>
      <c r="AJ26" s="757"/>
      <c r="AK26" s="740"/>
      <c r="AL26" s="741"/>
      <c r="AM26" s="741"/>
      <c r="AN26" s="757"/>
      <c r="AO26" s="466"/>
      <c r="AP26" s="467"/>
      <c r="AQ26" s="467"/>
      <c r="AR26" s="823"/>
    </row>
    <row r="27" spans="3:44" ht="18" customHeight="1">
      <c r="C27" s="758"/>
      <c r="D27" s="759"/>
      <c r="E27" s="760"/>
      <c r="F27" s="796"/>
      <c r="G27" s="797"/>
      <c r="H27" s="797"/>
      <c r="I27" s="797"/>
      <c r="J27" s="797"/>
      <c r="K27" s="797"/>
      <c r="L27" s="797"/>
      <c r="M27" s="797"/>
      <c r="N27" s="797"/>
      <c r="O27" s="797"/>
      <c r="P27" s="797"/>
      <c r="Q27" s="797"/>
      <c r="R27" s="797"/>
      <c r="S27" s="797"/>
      <c r="T27" s="797"/>
      <c r="U27" s="797"/>
      <c r="V27" s="797"/>
      <c r="W27" s="797"/>
      <c r="X27" s="797"/>
      <c r="Y27" s="797"/>
      <c r="Z27" s="797"/>
      <c r="AA27" s="797"/>
      <c r="AB27" s="798"/>
      <c r="AC27" s="740"/>
      <c r="AD27" s="741"/>
      <c r="AE27" s="741"/>
      <c r="AF27" s="757"/>
      <c r="AG27" s="740"/>
      <c r="AH27" s="741"/>
      <c r="AI27" s="741"/>
      <c r="AJ27" s="757"/>
      <c r="AK27" s="740"/>
      <c r="AL27" s="741"/>
      <c r="AM27" s="741"/>
      <c r="AN27" s="757"/>
      <c r="AO27" s="466"/>
      <c r="AP27" s="467"/>
      <c r="AQ27" s="467"/>
      <c r="AR27" s="823"/>
    </row>
    <row r="28" spans="3:44" ht="18" customHeight="1">
      <c r="C28" s="758"/>
      <c r="D28" s="759"/>
      <c r="E28" s="760"/>
      <c r="F28" s="796"/>
      <c r="G28" s="797"/>
      <c r="H28" s="797"/>
      <c r="I28" s="797"/>
      <c r="J28" s="797"/>
      <c r="K28" s="797"/>
      <c r="L28" s="797"/>
      <c r="M28" s="797"/>
      <c r="N28" s="797"/>
      <c r="O28" s="797"/>
      <c r="P28" s="797"/>
      <c r="Q28" s="797"/>
      <c r="R28" s="797"/>
      <c r="S28" s="797"/>
      <c r="T28" s="797"/>
      <c r="U28" s="797"/>
      <c r="V28" s="797"/>
      <c r="W28" s="797"/>
      <c r="X28" s="797"/>
      <c r="Y28" s="797"/>
      <c r="Z28" s="797"/>
      <c r="AA28" s="797"/>
      <c r="AB28" s="798"/>
      <c r="AC28" s="740"/>
      <c r="AD28" s="741"/>
      <c r="AE28" s="741"/>
      <c r="AF28" s="757"/>
      <c r="AG28" s="740"/>
      <c r="AH28" s="741"/>
      <c r="AI28" s="741"/>
      <c r="AJ28" s="757"/>
      <c r="AK28" s="740"/>
      <c r="AL28" s="741"/>
      <c r="AM28" s="741"/>
      <c r="AN28" s="757"/>
      <c r="AO28" s="466"/>
      <c r="AP28" s="467"/>
      <c r="AQ28" s="467"/>
      <c r="AR28" s="823"/>
    </row>
    <row r="29" spans="3:44" ht="18" customHeight="1">
      <c r="C29" s="814"/>
      <c r="D29" s="815"/>
      <c r="E29" s="815"/>
      <c r="F29" s="815"/>
      <c r="G29" s="815"/>
      <c r="H29" s="815"/>
      <c r="I29" s="815"/>
      <c r="J29" s="815"/>
      <c r="K29" s="815"/>
      <c r="L29" s="815"/>
      <c r="M29" s="815"/>
      <c r="N29" s="815"/>
      <c r="O29" s="815"/>
      <c r="P29" s="815"/>
      <c r="Q29" s="815"/>
      <c r="R29" s="815"/>
      <c r="S29" s="815"/>
      <c r="T29" s="815"/>
      <c r="U29" s="815"/>
      <c r="V29" s="815"/>
      <c r="W29" s="815"/>
      <c r="X29" s="815"/>
      <c r="Y29" s="816" t="s">
        <v>78</v>
      </c>
      <c r="Z29" s="816"/>
      <c r="AA29" s="816"/>
      <c r="AB29" s="816"/>
      <c r="AC29" s="816"/>
      <c r="AD29" s="816"/>
      <c r="AE29" s="816"/>
      <c r="AF29" s="483"/>
      <c r="AG29" s="817" t="s">
        <v>267</v>
      </c>
      <c r="AH29" s="818"/>
      <c r="AI29" s="818"/>
      <c r="AJ29" s="819"/>
      <c r="AK29" s="466">
        <f>SUM(AO21:AR28)</f>
        <v>45.97</v>
      </c>
      <c r="AL29" s="467"/>
      <c r="AM29" s="467"/>
      <c r="AN29" s="468"/>
      <c r="AO29" s="820">
        <f>ROUND(AG29*AK29,2)</f>
        <v>9.43</v>
      </c>
      <c r="AP29" s="821"/>
      <c r="AQ29" s="821"/>
      <c r="AR29" s="822"/>
    </row>
    <row r="30" spans="3:44" ht="18" customHeight="1">
      <c r="C30" s="743"/>
      <c r="D30" s="744"/>
      <c r="E30" s="744"/>
      <c r="F30" s="744"/>
      <c r="G30" s="744"/>
      <c r="H30" s="744"/>
      <c r="I30" s="744"/>
      <c r="J30" s="744"/>
      <c r="K30" s="744"/>
      <c r="L30" s="744"/>
      <c r="M30" s="744"/>
      <c r="N30" s="744"/>
      <c r="O30" s="744"/>
      <c r="P30" s="744"/>
      <c r="Q30" s="744"/>
      <c r="R30" s="744"/>
      <c r="S30" s="744"/>
      <c r="T30" s="744"/>
      <c r="U30" s="744"/>
      <c r="V30" s="744"/>
      <c r="W30" s="744"/>
      <c r="X30" s="744"/>
      <c r="Y30" s="745" t="s">
        <v>79</v>
      </c>
      <c r="Z30" s="745"/>
      <c r="AA30" s="745"/>
      <c r="AB30" s="745"/>
      <c r="AC30" s="745"/>
      <c r="AD30" s="745"/>
      <c r="AE30" s="745"/>
      <c r="AF30" s="745"/>
      <c r="AG30" s="745"/>
      <c r="AH30" s="745"/>
      <c r="AI30" s="745"/>
      <c r="AJ30" s="745"/>
      <c r="AK30" s="745"/>
      <c r="AL30" s="745"/>
      <c r="AM30" s="745"/>
      <c r="AN30" s="430"/>
      <c r="AO30" s="477">
        <f>SUM(AO21:AR29)</f>
        <v>55.4</v>
      </c>
      <c r="AP30" s="746"/>
      <c r="AQ30" s="746"/>
      <c r="AR30" s="747"/>
    </row>
    <row r="32" spans="3:44" ht="18" customHeight="1">
      <c r="C32" s="802"/>
      <c r="D32" s="803"/>
      <c r="E32" s="803"/>
      <c r="F32" s="803"/>
      <c r="G32" s="803"/>
      <c r="H32" s="803"/>
      <c r="I32" s="803"/>
      <c r="J32" s="803"/>
      <c r="K32" s="803"/>
      <c r="L32" s="803"/>
      <c r="M32" s="803"/>
      <c r="N32" s="803"/>
      <c r="O32" s="803"/>
      <c r="P32" s="803"/>
      <c r="Q32" s="803"/>
      <c r="R32" s="803"/>
      <c r="S32" s="803"/>
      <c r="T32" s="803"/>
      <c r="U32" s="803"/>
      <c r="V32" s="803"/>
      <c r="W32" s="803"/>
      <c r="X32" s="803"/>
      <c r="Y32" s="804" t="s">
        <v>80</v>
      </c>
      <c r="Z32" s="805"/>
      <c r="AA32" s="805"/>
      <c r="AB32" s="805"/>
      <c r="AC32" s="805"/>
      <c r="AD32" s="805"/>
      <c r="AE32" s="805"/>
      <c r="AF32" s="805"/>
      <c r="AG32" s="805"/>
      <c r="AH32" s="805"/>
      <c r="AI32" s="805"/>
      <c r="AJ32" s="805"/>
      <c r="AK32" s="805"/>
      <c r="AL32" s="805"/>
      <c r="AM32" s="805"/>
      <c r="AN32" s="806"/>
      <c r="AO32" s="807">
        <f>AO17+AO30</f>
        <v>55.4</v>
      </c>
      <c r="AP32" s="808"/>
      <c r="AQ32" s="808"/>
      <c r="AR32" s="809"/>
    </row>
    <row r="33" spans="3:44" ht="18" customHeight="1">
      <c r="C33" s="810" t="s">
        <v>81</v>
      </c>
      <c r="D33" s="745"/>
      <c r="E33" s="745"/>
      <c r="F33" s="745"/>
      <c r="G33" s="745"/>
      <c r="H33" s="745"/>
      <c r="I33" s="745"/>
      <c r="J33" s="745"/>
      <c r="K33" s="745"/>
      <c r="L33" s="745"/>
      <c r="M33" s="745"/>
      <c r="N33" s="745"/>
      <c r="O33" s="745"/>
      <c r="P33" s="430"/>
      <c r="Q33" s="477">
        <v>1</v>
      </c>
      <c r="R33" s="746"/>
      <c r="S33" s="746"/>
      <c r="T33" s="746"/>
      <c r="U33" s="746"/>
      <c r="V33" s="745" t="s">
        <v>194</v>
      </c>
      <c r="W33" s="745"/>
      <c r="X33" s="430"/>
      <c r="Y33" s="804" t="s">
        <v>82</v>
      </c>
      <c r="Z33" s="805"/>
      <c r="AA33" s="805"/>
      <c r="AB33" s="805"/>
      <c r="AC33" s="805"/>
      <c r="AD33" s="805"/>
      <c r="AE33" s="805"/>
      <c r="AF33" s="805"/>
      <c r="AG33" s="805"/>
      <c r="AH33" s="805"/>
      <c r="AI33" s="805"/>
      <c r="AJ33" s="805"/>
      <c r="AK33" s="805"/>
      <c r="AL33" s="805"/>
      <c r="AM33" s="805"/>
      <c r="AN33" s="806"/>
      <c r="AO33" s="811">
        <f>ROUND(AO32/Q33,2)</f>
        <v>55.4</v>
      </c>
      <c r="AP33" s="812"/>
      <c r="AQ33" s="812"/>
      <c r="AR33" s="813"/>
    </row>
    <row r="35" spans="3:44" ht="18" customHeight="1">
      <c r="C35" s="794" t="s">
        <v>43</v>
      </c>
      <c r="D35" s="774"/>
      <c r="E35" s="775"/>
      <c r="F35" s="773" t="s">
        <v>83</v>
      </c>
      <c r="G35" s="774"/>
      <c r="H35" s="774"/>
      <c r="I35" s="774"/>
      <c r="J35" s="774"/>
      <c r="K35" s="774"/>
      <c r="L35" s="774"/>
      <c r="M35" s="774"/>
      <c r="N35" s="774"/>
      <c r="O35" s="774"/>
      <c r="P35" s="774"/>
      <c r="Q35" s="774"/>
      <c r="R35" s="774"/>
      <c r="S35" s="774"/>
      <c r="T35" s="774"/>
      <c r="U35" s="774"/>
      <c r="V35" s="774"/>
      <c r="W35" s="774"/>
      <c r="X35" s="774"/>
      <c r="Y35" s="774"/>
      <c r="Z35" s="774"/>
      <c r="AA35" s="774"/>
      <c r="AB35" s="775"/>
      <c r="AC35" s="773" t="s">
        <v>84</v>
      </c>
      <c r="AD35" s="774"/>
      <c r="AE35" s="774"/>
      <c r="AF35" s="775"/>
      <c r="AG35" s="773" t="s">
        <v>85</v>
      </c>
      <c r="AH35" s="774"/>
      <c r="AI35" s="774"/>
      <c r="AJ35" s="775"/>
      <c r="AK35" s="773" t="s">
        <v>86</v>
      </c>
      <c r="AL35" s="774"/>
      <c r="AM35" s="774"/>
      <c r="AN35" s="775"/>
      <c r="AO35" s="773" t="s">
        <v>87</v>
      </c>
      <c r="AP35" s="774"/>
      <c r="AQ35" s="774"/>
      <c r="AR35" s="779"/>
    </row>
    <row r="36" spans="3:44" ht="18" customHeight="1">
      <c r="C36" s="795"/>
      <c r="D36" s="777"/>
      <c r="E36" s="778"/>
      <c r="F36" s="776"/>
      <c r="G36" s="777"/>
      <c r="H36" s="777"/>
      <c r="I36" s="777"/>
      <c r="J36" s="777"/>
      <c r="K36" s="777"/>
      <c r="L36" s="777"/>
      <c r="M36" s="777"/>
      <c r="N36" s="777"/>
      <c r="O36" s="777"/>
      <c r="P36" s="777"/>
      <c r="Q36" s="777"/>
      <c r="R36" s="777"/>
      <c r="S36" s="777"/>
      <c r="T36" s="777"/>
      <c r="U36" s="777"/>
      <c r="V36" s="777"/>
      <c r="W36" s="777"/>
      <c r="X36" s="777"/>
      <c r="Y36" s="777"/>
      <c r="Z36" s="777"/>
      <c r="AA36" s="777"/>
      <c r="AB36" s="778"/>
      <c r="AC36" s="776"/>
      <c r="AD36" s="777"/>
      <c r="AE36" s="777"/>
      <c r="AF36" s="778"/>
      <c r="AG36" s="776"/>
      <c r="AH36" s="777"/>
      <c r="AI36" s="777"/>
      <c r="AJ36" s="778"/>
      <c r="AK36" s="776"/>
      <c r="AL36" s="777"/>
      <c r="AM36" s="777"/>
      <c r="AN36" s="778"/>
      <c r="AO36" s="776"/>
      <c r="AP36" s="777"/>
      <c r="AQ36" s="777"/>
      <c r="AR36" s="780"/>
    </row>
    <row r="37" spans="3:44" ht="18" customHeight="1">
      <c r="C37" s="781" t="s">
        <v>710</v>
      </c>
      <c r="D37" s="782"/>
      <c r="E37" s="783"/>
      <c r="F37" s="493" t="s">
        <v>369</v>
      </c>
      <c r="G37" s="493"/>
      <c r="H37" s="493"/>
      <c r="I37" s="493"/>
      <c r="J37" s="493"/>
      <c r="K37" s="493"/>
      <c r="L37" s="493"/>
      <c r="M37" s="493"/>
      <c r="N37" s="493"/>
      <c r="O37" s="493"/>
      <c r="P37" s="493"/>
      <c r="Q37" s="493"/>
      <c r="R37" s="493"/>
      <c r="S37" s="493"/>
      <c r="T37" s="493"/>
      <c r="U37" s="493"/>
      <c r="V37" s="493"/>
      <c r="W37" s="493"/>
      <c r="X37" s="493"/>
      <c r="Y37" s="493"/>
      <c r="Z37" s="493"/>
      <c r="AA37" s="493"/>
      <c r="AB37" s="493"/>
      <c r="AC37" s="471" t="s">
        <v>245</v>
      </c>
      <c r="AD37" s="803"/>
      <c r="AE37" s="803"/>
      <c r="AF37" s="871"/>
      <c r="AG37" s="491">
        <f>TRUNC(34.23/1.2031,2)</f>
        <v>28.45</v>
      </c>
      <c r="AH37" s="491"/>
      <c r="AI37" s="491"/>
      <c r="AJ37" s="491"/>
      <c r="AK37" s="791">
        <v>4.5999999999999996</v>
      </c>
      <c r="AL37" s="792"/>
      <c r="AM37" s="792"/>
      <c r="AN37" s="793"/>
      <c r="AO37" s="740">
        <f t="shared" ref="AO37:AO43" si="0">ROUND(AG37*AK37,2)</f>
        <v>130.87</v>
      </c>
      <c r="AP37" s="741"/>
      <c r="AQ37" s="741"/>
      <c r="AR37" s="742"/>
    </row>
    <row r="38" spans="3:44" ht="18" customHeight="1">
      <c r="C38" s="758" t="s">
        <v>1376</v>
      </c>
      <c r="D38" s="759"/>
      <c r="E38" s="760"/>
      <c r="F38" s="796" t="s">
        <v>370</v>
      </c>
      <c r="G38" s="797"/>
      <c r="H38" s="797"/>
      <c r="I38" s="797"/>
      <c r="J38" s="797"/>
      <c r="K38" s="797"/>
      <c r="L38" s="797"/>
      <c r="M38" s="797"/>
      <c r="N38" s="797"/>
      <c r="O38" s="797"/>
      <c r="P38" s="797"/>
      <c r="Q38" s="797"/>
      <c r="R38" s="797"/>
      <c r="S38" s="797"/>
      <c r="T38" s="797"/>
      <c r="U38" s="797"/>
      <c r="V38" s="797"/>
      <c r="W38" s="797"/>
      <c r="X38" s="797"/>
      <c r="Y38" s="797"/>
      <c r="Z38" s="797"/>
      <c r="AA38" s="797"/>
      <c r="AB38" s="798"/>
      <c r="AC38" s="799" t="s">
        <v>309</v>
      </c>
      <c r="AD38" s="800"/>
      <c r="AE38" s="800"/>
      <c r="AF38" s="801"/>
      <c r="AG38" s="466">
        <f>TRUNC(43.8/1.2031,2)</f>
        <v>36.4</v>
      </c>
      <c r="AH38" s="467"/>
      <c r="AI38" s="467"/>
      <c r="AJ38" s="468"/>
      <c r="AK38" s="737">
        <v>13.5</v>
      </c>
      <c r="AL38" s="738"/>
      <c r="AM38" s="738"/>
      <c r="AN38" s="739"/>
      <c r="AO38" s="740">
        <f t="shared" si="0"/>
        <v>491.4</v>
      </c>
      <c r="AP38" s="741"/>
      <c r="AQ38" s="741"/>
      <c r="AR38" s="742"/>
    </row>
    <row r="39" spans="3:44" ht="18" customHeight="1">
      <c r="C39" s="758" t="s">
        <v>1384</v>
      </c>
      <c r="D39" s="759"/>
      <c r="E39" s="760"/>
      <c r="F39" s="796" t="s">
        <v>371</v>
      </c>
      <c r="G39" s="797"/>
      <c r="H39" s="797"/>
      <c r="I39" s="797"/>
      <c r="J39" s="797"/>
      <c r="K39" s="797"/>
      <c r="L39" s="797"/>
      <c r="M39" s="797"/>
      <c r="N39" s="797"/>
      <c r="O39" s="797"/>
      <c r="P39" s="797"/>
      <c r="Q39" s="797"/>
      <c r="R39" s="797"/>
      <c r="S39" s="797"/>
      <c r="T39" s="797"/>
      <c r="U39" s="797"/>
      <c r="V39" s="797"/>
      <c r="W39" s="797"/>
      <c r="X39" s="797"/>
      <c r="Y39" s="797"/>
      <c r="Z39" s="797"/>
      <c r="AA39" s="797"/>
      <c r="AB39" s="798"/>
      <c r="AC39" s="799" t="s">
        <v>246</v>
      </c>
      <c r="AD39" s="800"/>
      <c r="AE39" s="800"/>
      <c r="AF39" s="801"/>
      <c r="AG39" s="466">
        <f>TRUNC(5.97/1.2031,2)</f>
        <v>4.96</v>
      </c>
      <c r="AH39" s="467"/>
      <c r="AI39" s="467"/>
      <c r="AJ39" s="468"/>
      <c r="AK39" s="737">
        <v>12.29</v>
      </c>
      <c r="AL39" s="738"/>
      <c r="AM39" s="738"/>
      <c r="AN39" s="739"/>
      <c r="AO39" s="740">
        <f t="shared" si="0"/>
        <v>60.96</v>
      </c>
      <c r="AP39" s="741"/>
      <c r="AQ39" s="741"/>
      <c r="AR39" s="742"/>
    </row>
    <row r="40" spans="3:44" ht="18" customHeight="1">
      <c r="C40" s="758" t="s">
        <v>1377</v>
      </c>
      <c r="D40" s="759"/>
      <c r="E40" s="760"/>
      <c r="F40" s="796" t="s">
        <v>372</v>
      </c>
      <c r="G40" s="797"/>
      <c r="H40" s="797"/>
      <c r="I40" s="797"/>
      <c r="J40" s="797"/>
      <c r="K40" s="797"/>
      <c r="L40" s="797"/>
      <c r="M40" s="797"/>
      <c r="N40" s="797"/>
      <c r="O40" s="797"/>
      <c r="P40" s="797"/>
      <c r="Q40" s="797"/>
      <c r="R40" s="797"/>
      <c r="S40" s="797"/>
      <c r="T40" s="797"/>
      <c r="U40" s="797"/>
      <c r="V40" s="797"/>
      <c r="W40" s="797"/>
      <c r="X40" s="797"/>
      <c r="Y40" s="797"/>
      <c r="Z40" s="797"/>
      <c r="AA40" s="797"/>
      <c r="AB40" s="798"/>
      <c r="AC40" s="799" t="s">
        <v>245</v>
      </c>
      <c r="AD40" s="800"/>
      <c r="AE40" s="800"/>
      <c r="AF40" s="801"/>
      <c r="AG40" s="466">
        <f>TRUNC(373.21/1.2031,2)</f>
        <v>310.2</v>
      </c>
      <c r="AH40" s="467"/>
      <c r="AI40" s="467"/>
      <c r="AJ40" s="468"/>
      <c r="AK40" s="737">
        <v>0.95</v>
      </c>
      <c r="AL40" s="738"/>
      <c r="AM40" s="738"/>
      <c r="AN40" s="739"/>
      <c r="AO40" s="740">
        <f t="shared" si="0"/>
        <v>294.69</v>
      </c>
      <c r="AP40" s="741"/>
      <c r="AQ40" s="741"/>
      <c r="AR40" s="742"/>
    </row>
    <row r="41" spans="3:44" ht="18" customHeight="1">
      <c r="C41" s="758" t="s">
        <v>1385</v>
      </c>
      <c r="D41" s="759"/>
      <c r="E41" s="760"/>
      <c r="F41" s="796" t="s">
        <v>373</v>
      </c>
      <c r="G41" s="797"/>
      <c r="H41" s="797"/>
      <c r="I41" s="797"/>
      <c r="J41" s="797"/>
      <c r="K41" s="797"/>
      <c r="L41" s="797"/>
      <c r="M41" s="797"/>
      <c r="N41" s="797"/>
      <c r="O41" s="797"/>
      <c r="P41" s="797"/>
      <c r="Q41" s="797"/>
      <c r="R41" s="797"/>
      <c r="S41" s="797"/>
      <c r="T41" s="797"/>
      <c r="U41" s="797"/>
      <c r="V41" s="797"/>
      <c r="W41" s="797"/>
      <c r="X41" s="797"/>
      <c r="Y41" s="797"/>
      <c r="Z41" s="797"/>
      <c r="AA41" s="797"/>
      <c r="AB41" s="798"/>
      <c r="AC41" s="799" t="s">
        <v>245</v>
      </c>
      <c r="AD41" s="800"/>
      <c r="AE41" s="800"/>
      <c r="AF41" s="801"/>
      <c r="AG41" s="466">
        <f>TRUNC(380.91/1.2031,2)</f>
        <v>316.60000000000002</v>
      </c>
      <c r="AH41" s="467"/>
      <c r="AI41" s="467"/>
      <c r="AJ41" s="468"/>
      <c r="AK41" s="737">
        <v>0.11</v>
      </c>
      <c r="AL41" s="738"/>
      <c r="AM41" s="738"/>
      <c r="AN41" s="739"/>
      <c r="AO41" s="740">
        <f t="shared" si="0"/>
        <v>34.83</v>
      </c>
      <c r="AP41" s="741"/>
      <c r="AQ41" s="741"/>
      <c r="AR41" s="742"/>
    </row>
    <row r="42" spans="3:44" ht="18" customHeight="1">
      <c r="C42" s="758" t="s">
        <v>857</v>
      </c>
      <c r="D42" s="759"/>
      <c r="E42" s="760"/>
      <c r="F42" s="796" t="s">
        <v>374</v>
      </c>
      <c r="G42" s="797"/>
      <c r="H42" s="797"/>
      <c r="I42" s="797"/>
      <c r="J42" s="797"/>
      <c r="K42" s="797"/>
      <c r="L42" s="797"/>
      <c r="M42" s="797"/>
      <c r="N42" s="797"/>
      <c r="O42" s="797"/>
      <c r="P42" s="797"/>
      <c r="Q42" s="797"/>
      <c r="R42" s="797"/>
      <c r="S42" s="797"/>
      <c r="T42" s="797"/>
      <c r="U42" s="797"/>
      <c r="V42" s="797"/>
      <c r="W42" s="797"/>
      <c r="X42" s="797"/>
      <c r="Y42" s="797"/>
      <c r="Z42" s="797"/>
      <c r="AA42" s="797"/>
      <c r="AB42" s="798"/>
      <c r="AC42" s="799" t="s">
        <v>245</v>
      </c>
      <c r="AD42" s="800"/>
      <c r="AE42" s="800"/>
      <c r="AF42" s="801"/>
      <c r="AG42" s="466">
        <f>TRUNC(301.73/1.2031,2)</f>
        <v>250.79</v>
      </c>
      <c r="AH42" s="467"/>
      <c r="AI42" s="467"/>
      <c r="AJ42" s="468"/>
      <c r="AK42" s="737">
        <v>0.18</v>
      </c>
      <c r="AL42" s="738"/>
      <c r="AM42" s="738"/>
      <c r="AN42" s="739"/>
      <c r="AO42" s="740">
        <f t="shared" si="0"/>
        <v>45.14</v>
      </c>
      <c r="AP42" s="741"/>
      <c r="AQ42" s="741"/>
      <c r="AR42" s="742"/>
    </row>
    <row r="43" spans="3:44" ht="18" customHeight="1">
      <c r="C43" s="758" t="s">
        <v>711</v>
      </c>
      <c r="D43" s="759"/>
      <c r="E43" s="760"/>
      <c r="F43" s="796" t="s">
        <v>375</v>
      </c>
      <c r="G43" s="797"/>
      <c r="H43" s="797"/>
      <c r="I43" s="797"/>
      <c r="J43" s="797"/>
      <c r="K43" s="797"/>
      <c r="L43" s="797"/>
      <c r="M43" s="797"/>
      <c r="N43" s="797"/>
      <c r="O43" s="797"/>
      <c r="P43" s="797"/>
      <c r="Q43" s="797"/>
      <c r="R43" s="797"/>
      <c r="S43" s="797"/>
      <c r="T43" s="797"/>
      <c r="U43" s="797"/>
      <c r="V43" s="797"/>
      <c r="W43" s="797"/>
      <c r="X43" s="797"/>
      <c r="Y43" s="797"/>
      <c r="Z43" s="797"/>
      <c r="AA43" s="797"/>
      <c r="AB43" s="798"/>
      <c r="AC43" s="799" t="s">
        <v>245</v>
      </c>
      <c r="AD43" s="800"/>
      <c r="AE43" s="800"/>
      <c r="AF43" s="801"/>
      <c r="AG43" s="466">
        <f>TRUNC(18.25/1.2031,2)</f>
        <v>15.16</v>
      </c>
      <c r="AH43" s="467"/>
      <c r="AI43" s="467"/>
      <c r="AJ43" s="468"/>
      <c r="AK43" s="737">
        <v>2.5</v>
      </c>
      <c r="AL43" s="738"/>
      <c r="AM43" s="738"/>
      <c r="AN43" s="739"/>
      <c r="AO43" s="740">
        <f t="shared" si="0"/>
        <v>37.9</v>
      </c>
      <c r="AP43" s="741"/>
      <c r="AQ43" s="741"/>
      <c r="AR43" s="742"/>
    </row>
    <row r="44" spans="3:44" ht="18" customHeight="1">
      <c r="C44" s="758"/>
      <c r="D44" s="759"/>
      <c r="E44" s="760"/>
      <c r="F44" s="796"/>
      <c r="G44" s="797"/>
      <c r="H44" s="797"/>
      <c r="I44" s="797"/>
      <c r="J44" s="797"/>
      <c r="K44" s="797"/>
      <c r="L44" s="797"/>
      <c r="M44" s="797"/>
      <c r="N44" s="797"/>
      <c r="O44" s="797"/>
      <c r="P44" s="797"/>
      <c r="Q44" s="797"/>
      <c r="R44" s="797"/>
      <c r="S44" s="797"/>
      <c r="T44" s="797"/>
      <c r="U44" s="797"/>
      <c r="V44" s="797"/>
      <c r="W44" s="797"/>
      <c r="X44" s="797"/>
      <c r="Y44" s="797"/>
      <c r="Z44" s="797"/>
      <c r="AA44" s="797"/>
      <c r="AB44" s="798"/>
      <c r="AC44" s="799"/>
      <c r="AD44" s="800"/>
      <c r="AE44" s="800"/>
      <c r="AF44" s="801"/>
      <c r="AG44" s="466"/>
      <c r="AH44" s="467"/>
      <c r="AI44" s="467"/>
      <c r="AJ44" s="468"/>
      <c r="AK44" s="737"/>
      <c r="AL44" s="738"/>
      <c r="AM44" s="738"/>
      <c r="AN44" s="739"/>
      <c r="AO44" s="740"/>
      <c r="AP44" s="741"/>
      <c r="AQ44" s="741"/>
      <c r="AR44" s="742"/>
    </row>
    <row r="45" spans="3:44" ht="18" customHeight="1">
      <c r="C45" s="743"/>
      <c r="D45" s="744"/>
      <c r="E45" s="744"/>
      <c r="F45" s="744"/>
      <c r="G45" s="744"/>
      <c r="H45" s="744"/>
      <c r="I45" s="744"/>
      <c r="J45" s="744"/>
      <c r="K45" s="744"/>
      <c r="L45" s="744"/>
      <c r="M45" s="744"/>
      <c r="N45" s="744"/>
      <c r="O45" s="744"/>
      <c r="P45" s="744"/>
      <c r="Q45" s="744"/>
      <c r="R45" s="744"/>
      <c r="S45" s="744"/>
      <c r="T45" s="744"/>
      <c r="U45" s="744"/>
      <c r="V45" s="744"/>
      <c r="W45" s="744"/>
      <c r="X45" s="744"/>
      <c r="Y45" s="745" t="s">
        <v>88</v>
      </c>
      <c r="Z45" s="745"/>
      <c r="AA45" s="745"/>
      <c r="AB45" s="745"/>
      <c r="AC45" s="745"/>
      <c r="AD45" s="745"/>
      <c r="AE45" s="745"/>
      <c r="AF45" s="745"/>
      <c r="AG45" s="745"/>
      <c r="AH45" s="745"/>
      <c r="AI45" s="745"/>
      <c r="AJ45" s="745"/>
      <c r="AK45" s="745"/>
      <c r="AL45" s="745"/>
      <c r="AM45" s="745"/>
      <c r="AN45" s="430"/>
      <c r="AO45" s="477">
        <f>SUM(AO37:AR44)</f>
        <v>1095.7900000000002</v>
      </c>
      <c r="AP45" s="746"/>
      <c r="AQ45" s="746"/>
      <c r="AR45" s="747"/>
    </row>
    <row r="47" spans="3:44" ht="18" customHeight="1">
      <c r="C47" s="794" t="s">
        <v>43</v>
      </c>
      <c r="D47" s="774"/>
      <c r="E47" s="775"/>
      <c r="F47" s="773" t="s">
        <v>89</v>
      </c>
      <c r="G47" s="774"/>
      <c r="H47" s="774"/>
      <c r="I47" s="774"/>
      <c r="J47" s="774"/>
      <c r="K47" s="774"/>
      <c r="L47" s="774"/>
      <c r="M47" s="774"/>
      <c r="N47" s="774"/>
      <c r="O47" s="774"/>
      <c r="P47" s="774"/>
      <c r="Q47" s="774"/>
      <c r="R47" s="775"/>
      <c r="S47" s="773" t="s">
        <v>90</v>
      </c>
      <c r="T47" s="774"/>
      <c r="U47" s="775"/>
      <c r="V47" s="773" t="s">
        <v>91</v>
      </c>
      <c r="W47" s="774"/>
      <c r="X47" s="775"/>
      <c r="Y47" s="773" t="s">
        <v>92</v>
      </c>
      <c r="Z47" s="774"/>
      <c r="AA47" s="774"/>
      <c r="AB47" s="774"/>
      <c r="AC47" s="774"/>
      <c r="AD47" s="775"/>
      <c r="AE47" s="773" t="s">
        <v>93</v>
      </c>
      <c r="AF47" s="774"/>
      <c r="AG47" s="775"/>
      <c r="AH47" s="773" t="s">
        <v>94</v>
      </c>
      <c r="AI47" s="774"/>
      <c r="AJ47" s="775"/>
      <c r="AK47" s="773" t="s">
        <v>86</v>
      </c>
      <c r="AL47" s="774"/>
      <c r="AM47" s="774"/>
      <c r="AN47" s="775"/>
      <c r="AO47" s="773" t="s">
        <v>87</v>
      </c>
      <c r="AP47" s="774"/>
      <c r="AQ47" s="774"/>
      <c r="AR47" s="779"/>
    </row>
    <row r="48" spans="3:44" ht="18" customHeight="1">
      <c r="C48" s="795"/>
      <c r="D48" s="777"/>
      <c r="E48" s="778"/>
      <c r="F48" s="776"/>
      <c r="G48" s="777"/>
      <c r="H48" s="777"/>
      <c r="I48" s="777"/>
      <c r="J48" s="777"/>
      <c r="K48" s="777"/>
      <c r="L48" s="777"/>
      <c r="M48" s="777"/>
      <c r="N48" s="777"/>
      <c r="O48" s="777"/>
      <c r="P48" s="777"/>
      <c r="Q48" s="777"/>
      <c r="R48" s="778"/>
      <c r="S48" s="776"/>
      <c r="T48" s="777"/>
      <c r="U48" s="778"/>
      <c r="V48" s="776"/>
      <c r="W48" s="777"/>
      <c r="X48" s="778"/>
      <c r="Y48" s="776"/>
      <c r="Z48" s="777"/>
      <c r="AA48" s="777"/>
      <c r="AB48" s="777"/>
      <c r="AC48" s="777"/>
      <c r="AD48" s="778"/>
      <c r="AE48" s="776"/>
      <c r="AF48" s="777"/>
      <c r="AG48" s="778"/>
      <c r="AH48" s="776"/>
      <c r="AI48" s="777"/>
      <c r="AJ48" s="778"/>
      <c r="AK48" s="776"/>
      <c r="AL48" s="777"/>
      <c r="AM48" s="777"/>
      <c r="AN48" s="778"/>
      <c r="AO48" s="776"/>
      <c r="AP48" s="777"/>
      <c r="AQ48" s="777"/>
      <c r="AR48" s="780"/>
    </row>
    <row r="49" spans="1:44" ht="18" customHeight="1">
      <c r="C49" s="781"/>
      <c r="D49" s="782"/>
      <c r="E49" s="783"/>
      <c r="F49" s="457"/>
      <c r="G49" s="457"/>
      <c r="H49" s="457"/>
      <c r="I49" s="457"/>
      <c r="J49" s="457"/>
      <c r="K49" s="457"/>
      <c r="L49" s="457"/>
      <c r="M49" s="457"/>
      <c r="N49" s="457"/>
      <c r="O49" s="457"/>
      <c r="P49" s="457"/>
      <c r="Q49" s="457"/>
      <c r="R49" s="457"/>
      <c r="S49" s="784"/>
      <c r="T49" s="785"/>
      <c r="U49" s="786"/>
      <c r="V49" s="784"/>
      <c r="W49" s="785"/>
      <c r="X49" s="786"/>
      <c r="Y49" s="787"/>
      <c r="Z49" s="788"/>
      <c r="AA49" s="788"/>
      <c r="AB49" s="788"/>
      <c r="AC49" s="788"/>
      <c r="AD49" s="789"/>
      <c r="AE49" s="449"/>
      <c r="AF49" s="449"/>
      <c r="AG49" s="449"/>
      <c r="AH49" s="770"/>
      <c r="AI49" s="771"/>
      <c r="AJ49" s="790"/>
      <c r="AK49" s="791"/>
      <c r="AL49" s="792"/>
      <c r="AM49" s="792"/>
      <c r="AN49" s="793"/>
      <c r="AO49" s="770"/>
      <c r="AP49" s="771"/>
      <c r="AQ49" s="771"/>
      <c r="AR49" s="772"/>
    </row>
    <row r="50" spans="1:44" ht="18" customHeight="1">
      <c r="C50" s="758"/>
      <c r="D50" s="759"/>
      <c r="E50" s="760"/>
      <c r="F50" s="761"/>
      <c r="G50" s="762"/>
      <c r="H50" s="762"/>
      <c r="I50" s="762"/>
      <c r="J50" s="762"/>
      <c r="K50" s="762"/>
      <c r="L50" s="762"/>
      <c r="M50" s="762"/>
      <c r="N50" s="762"/>
      <c r="O50" s="762"/>
      <c r="P50" s="762"/>
      <c r="Q50" s="762"/>
      <c r="R50" s="763"/>
      <c r="S50" s="764"/>
      <c r="T50" s="765"/>
      <c r="U50" s="766"/>
      <c r="V50" s="764"/>
      <c r="W50" s="765"/>
      <c r="X50" s="766"/>
      <c r="Y50" s="767"/>
      <c r="Z50" s="768"/>
      <c r="AA50" s="768"/>
      <c r="AB50" s="768"/>
      <c r="AC50" s="768"/>
      <c r="AD50" s="769"/>
      <c r="AE50" s="740"/>
      <c r="AF50" s="741"/>
      <c r="AG50" s="757"/>
      <c r="AH50" s="740"/>
      <c r="AI50" s="741"/>
      <c r="AJ50" s="757"/>
      <c r="AK50" s="737"/>
      <c r="AL50" s="738"/>
      <c r="AM50" s="738"/>
      <c r="AN50" s="739"/>
      <c r="AO50" s="740"/>
      <c r="AP50" s="741"/>
      <c r="AQ50" s="741"/>
      <c r="AR50" s="742"/>
    </row>
    <row r="51" spans="1:44" ht="18" customHeight="1">
      <c r="C51" s="758"/>
      <c r="D51" s="759"/>
      <c r="E51" s="760"/>
      <c r="F51" s="761"/>
      <c r="G51" s="762"/>
      <c r="H51" s="762"/>
      <c r="I51" s="762"/>
      <c r="J51" s="762"/>
      <c r="K51" s="762"/>
      <c r="L51" s="762"/>
      <c r="M51" s="762"/>
      <c r="N51" s="762"/>
      <c r="O51" s="762"/>
      <c r="P51" s="762"/>
      <c r="Q51" s="762"/>
      <c r="R51" s="763"/>
      <c r="S51" s="764"/>
      <c r="T51" s="765"/>
      <c r="U51" s="766"/>
      <c r="V51" s="764"/>
      <c r="W51" s="765"/>
      <c r="X51" s="766"/>
      <c r="Y51" s="767"/>
      <c r="Z51" s="768"/>
      <c r="AA51" s="768"/>
      <c r="AB51" s="768"/>
      <c r="AC51" s="768"/>
      <c r="AD51" s="769"/>
      <c r="AE51" s="740"/>
      <c r="AF51" s="741"/>
      <c r="AG51" s="757"/>
      <c r="AH51" s="740"/>
      <c r="AI51" s="741"/>
      <c r="AJ51" s="757"/>
      <c r="AK51" s="737"/>
      <c r="AL51" s="738"/>
      <c r="AM51" s="738"/>
      <c r="AN51" s="739"/>
      <c r="AO51" s="740">
        <f t="shared" ref="AO51:AO56" si="1">ROUND(AE51*AH51*AK51,2)</f>
        <v>0</v>
      </c>
      <c r="AP51" s="741"/>
      <c r="AQ51" s="741"/>
      <c r="AR51" s="742"/>
    </row>
    <row r="52" spans="1:44" ht="18" customHeight="1">
      <c r="C52" s="758"/>
      <c r="D52" s="759"/>
      <c r="E52" s="760"/>
      <c r="F52" s="761"/>
      <c r="G52" s="762"/>
      <c r="H52" s="762"/>
      <c r="I52" s="762"/>
      <c r="J52" s="762"/>
      <c r="K52" s="762"/>
      <c r="L52" s="762"/>
      <c r="M52" s="762"/>
      <c r="N52" s="762"/>
      <c r="O52" s="762"/>
      <c r="P52" s="762"/>
      <c r="Q52" s="762"/>
      <c r="R52" s="763"/>
      <c r="S52" s="764"/>
      <c r="T52" s="765"/>
      <c r="U52" s="766"/>
      <c r="V52" s="764"/>
      <c r="W52" s="765"/>
      <c r="X52" s="766"/>
      <c r="Y52" s="767"/>
      <c r="Z52" s="768"/>
      <c r="AA52" s="768"/>
      <c r="AB52" s="768"/>
      <c r="AC52" s="768"/>
      <c r="AD52" s="769"/>
      <c r="AE52" s="740"/>
      <c r="AF52" s="741"/>
      <c r="AG52" s="757"/>
      <c r="AH52" s="740"/>
      <c r="AI52" s="741"/>
      <c r="AJ52" s="757"/>
      <c r="AK52" s="737"/>
      <c r="AL52" s="738"/>
      <c r="AM52" s="738"/>
      <c r="AN52" s="739"/>
      <c r="AO52" s="740">
        <f t="shared" si="1"/>
        <v>0</v>
      </c>
      <c r="AP52" s="741"/>
      <c r="AQ52" s="741"/>
      <c r="AR52" s="742"/>
    </row>
    <row r="53" spans="1:44" ht="18" customHeight="1">
      <c r="C53" s="758"/>
      <c r="D53" s="759"/>
      <c r="E53" s="760"/>
      <c r="F53" s="761"/>
      <c r="G53" s="762"/>
      <c r="H53" s="762"/>
      <c r="I53" s="762"/>
      <c r="J53" s="762"/>
      <c r="K53" s="762"/>
      <c r="L53" s="762"/>
      <c r="M53" s="762"/>
      <c r="N53" s="762"/>
      <c r="O53" s="762"/>
      <c r="P53" s="762"/>
      <c r="Q53" s="762"/>
      <c r="R53" s="763"/>
      <c r="S53" s="764"/>
      <c r="T53" s="765"/>
      <c r="U53" s="766"/>
      <c r="V53" s="764"/>
      <c r="W53" s="765"/>
      <c r="X53" s="766"/>
      <c r="Y53" s="767"/>
      <c r="Z53" s="768"/>
      <c r="AA53" s="768"/>
      <c r="AB53" s="768"/>
      <c r="AC53" s="768"/>
      <c r="AD53" s="769"/>
      <c r="AE53" s="740"/>
      <c r="AF53" s="741"/>
      <c r="AG53" s="757"/>
      <c r="AH53" s="740"/>
      <c r="AI53" s="741"/>
      <c r="AJ53" s="757"/>
      <c r="AK53" s="737"/>
      <c r="AL53" s="738"/>
      <c r="AM53" s="738"/>
      <c r="AN53" s="739"/>
      <c r="AO53" s="740">
        <f t="shared" si="1"/>
        <v>0</v>
      </c>
      <c r="AP53" s="741"/>
      <c r="AQ53" s="741"/>
      <c r="AR53" s="742"/>
    </row>
    <row r="54" spans="1:44" ht="18" customHeight="1">
      <c r="C54" s="758"/>
      <c r="D54" s="759"/>
      <c r="E54" s="760"/>
      <c r="F54" s="761"/>
      <c r="G54" s="762"/>
      <c r="H54" s="762"/>
      <c r="I54" s="762"/>
      <c r="J54" s="762"/>
      <c r="K54" s="762"/>
      <c r="L54" s="762"/>
      <c r="M54" s="762"/>
      <c r="N54" s="762"/>
      <c r="O54" s="762"/>
      <c r="P54" s="762"/>
      <c r="Q54" s="762"/>
      <c r="R54" s="763"/>
      <c r="S54" s="764"/>
      <c r="T54" s="765"/>
      <c r="U54" s="766"/>
      <c r="V54" s="764"/>
      <c r="W54" s="765"/>
      <c r="X54" s="766"/>
      <c r="Y54" s="767"/>
      <c r="Z54" s="768"/>
      <c r="AA54" s="768"/>
      <c r="AB54" s="768"/>
      <c r="AC54" s="768"/>
      <c r="AD54" s="769"/>
      <c r="AE54" s="740"/>
      <c r="AF54" s="741"/>
      <c r="AG54" s="757"/>
      <c r="AH54" s="740"/>
      <c r="AI54" s="741"/>
      <c r="AJ54" s="757"/>
      <c r="AK54" s="737"/>
      <c r="AL54" s="738"/>
      <c r="AM54" s="738"/>
      <c r="AN54" s="739"/>
      <c r="AO54" s="740">
        <f t="shared" si="1"/>
        <v>0</v>
      </c>
      <c r="AP54" s="741"/>
      <c r="AQ54" s="741"/>
      <c r="AR54" s="742"/>
    </row>
    <row r="55" spans="1:44" ht="18" customHeight="1">
      <c r="C55" s="758"/>
      <c r="D55" s="759"/>
      <c r="E55" s="760"/>
      <c r="F55" s="761"/>
      <c r="G55" s="762"/>
      <c r="H55" s="762"/>
      <c r="I55" s="762"/>
      <c r="J55" s="762"/>
      <c r="K55" s="762"/>
      <c r="L55" s="762"/>
      <c r="M55" s="762"/>
      <c r="N55" s="762"/>
      <c r="O55" s="762"/>
      <c r="P55" s="762"/>
      <c r="Q55" s="762"/>
      <c r="R55" s="763"/>
      <c r="S55" s="764"/>
      <c r="T55" s="765"/>
      <c r="U55" s="766"/>
      <c r="V55" s="764"/>
      <c r="W55" s="765"/>
      <c r="X55" s="766"/>
      <c r="Y55" s="767"/>
      <c r="Z55" s="768"/>
      <c r="AA55" s="768"/>
      <c r="AB55" s="768"/>
      <c r="AC55" s="768"/>
      <c r="AD55" s="769"/>
      <c r="AE55" s="740"/>
      <c r="AF55" s="741"/>
      <c r="AG55" s="757"/>
      <c r="AH55" s="740"/>
      <c r="AI55" s="741"/>
      <c r="AJ55" s="757"/>
      <c r="AK55" s="737"/>
      <c r="AL55" s="738"/>
      <c r="AM55" s="738"/>
      <c r="AN55" s="739"/>
      <c r="AO55" s="740">
        <f t="shared" si="1"/>
        <v>0</v>
      </c>
      <c r="AP55" s="741"/>
      <c r="AQ55" s="741"/>
      <c r="AR55" s="742"/>
    </row>
    <row r="56" spans="1:44" ht="18" customHeight="1">
      <c r="C56" s="758"/>
      <c r="D56" s="759"/>
      <c r="E56" s="760"/>
      <c r="F56" s="761"/>
      <c r="G56" s="762"/>
      <c r="H56" s="762"/>
      <c r="I56" s="762"/>
      <c r="J56" s="762"/>
      <c r="K56" s="762"/>
      <c r="L56" s="762"/>
      <c r="M56" s="762"/>
      <c r="N56" s="762"/>
      <c r="O56" s="762"/>
      <c r="P56" s="762"/>
      <c r="Q56" s="762"/>
      <c r="R56" s="763"/>
      <c r="S56" s="764"/>
      <c r="T56" s="765"/>
      <c r="U56" s="766"/>
      <c r="V56" s="764"/>
      <c r="W56" s="765"/>
      <c r="X56" s="766"/>
      <c r="Y56" s="767"/>
      <c r="Z56" s="768"/>
      <c r="AA56" s="768"/>
      <c r="AB56" s="768"/>
      <c r="AC56" s="768"/>
      <c r="AD56" s="769"/>
      <c r="AE56" s="740"/>
      <c r="AF56" s="741"/>
      <c r="AG56" s="757"/>
      <c r="AH56" s="740"/>
      <c r="AI56" s="741"/>
      <c r="AJ56" s="757"/>
      <c r="AK56" s="737"/>
      <c r="AL56" s="738"/>
      <c r="AM56" s="738"/>
      <c r="AN56" s="739"/>
      <c r="AO56" s="740">
        <f t="shared" si="1"/>
        <v>0</v>
      </c>
      <c r="AP56" s="741"/>
      <c r="AQ56" s="741"/>
      <c r="AR56" s="742"/>
    </row>
    <row r="57" spans="1:44" ht="18" customHeight="1">
      <c r="C57" s="743"/>
      <c r="D57" s="744"/>
      <c r="E57" s="744"/>
      <c r="F57" s="744"/>
      <c r="G57" s="744"/>
      <c r="H57" s="744"/>
      <c r="I57" s="744"/>
      <c r="J57" s="744"/>
      <c r="K57" s="744"/>
      <c r="L57" s="744"/>
      <c r="M57" s="744"/>
      <c r="N57" s="744"/>
      <c r="O57" s="744"/>
      <c r="P57" s="744"/>
      <c r="Q57" s="744"/>
      <c r="R57" s="744"/>
      <c r="S57" s="744"/>
      <c r="T57" s="744"/>
      <c r="U57" s="744"/>
      <c r="V57" s="744"/>
      <c r="W57" s="744"/>
      <c r="X57" s="744"/>
      <c r="Y57" s="745" t="s">
        <v>95</v>
      </c>
      <c r="Z57" s="745"/>
      <c r="AA57" s="745"/>
      <c r="AB57" s="745"/>
      <c r="AC57" s="745"/>
      <c r="AD57" s="745"/>
      <c r="AE57" s="745"/>
      <c r="AF57" s="745"/>
      <c r="AG57" s="745"/>
      <c r="AH57" s="745"/>
      <c r="AI57" s="745"/>
      <c r="AJ57" s="745"/>
      <c r="AK57" s="745"/>
      <c r="AL57" s="745"/>
      <c r="AM57" s="745"/>
      <c r="AN57" s="430"/>
      <c r="AO57" s="477">
        <f>SUM(AO49:AR56)</f>
        <v>0</v>
      </c>
      <c r="AP57" s="746"/>
      <c r="AQ57" s="746"/>
      <c r="AR57" s="747"/>
    </row>
    <row r="59" spans="1:44" ht="18" customHeight="1">
      <c r="C59" s="434"/>
      <c r="D59" s="434"/>
      <c r="E59" s="434"/>
      <c r="F59" s="434"/>
      <c r="G59" s="434"/>
      <c r="H59" s="434"/>
      <c r="I59" s="434"/>
      <c r="J59" s="434"/>
      <c r="K59" s="434"/>
      <c r="L59" s="434"/>
      <c r="M59" s="434"/>
      <c r="N59" s="434"/>
      <c r="O59" s="434"/>
      <c r="P59" s="434"/>
      <c r="Q59" s="434"/>
      <c r="R59" s="434"/>
      <c r="S59" s="434"/>
      <c r="T59" s="434"/>
      <c r="U59" s="434"/>
      <c r="V59" s="434"/>
      <c r="W59" s="434"/>
      <c r="X59" s="748"/>
      <c r="Y59" s="749" t="s">
        <v>96</v>
      </c>
      <c r="Z59" s="750"/>
      <c r="AA59" s="750"/>
      <c r="AB59" s="750"/>
      <c r="AC59" s="750"/>
      <c r="AD59" s="750"/>
      <c r="AE59" s="750"/>
      <c r="AF59" s="750"/>
      <c r="AG59" s="750"/>
      <c r="AH59" s="750"/>
      <c r="AI59" s="750"/>
      <c r="AJ59" s="750"/>
      <c r="AK59" s="750"/>
      <c r="AL59" s="750"/>
      <c r="AM59" s="750"/>
      <c r="AN59" s="751"/>
      <c r="AO59" s="752">
        <f>AO33+AO45+AO57</f>
        <v>1151.1900000000003</v>
      </c>
      <c r="AP59" s="753"/>
      <c r="AQ59" s="753"/>
      <c r="AR59" s="754"/>
    </row>
    <row r="60" spans="1:44" ht="18" customHeight="1">
      <c r="C60" s="434"/>
      <c r="D60" s="434"/>
      <c r="E60" s="434"/>
      <c r="F60" s="434"/>
      <c r="G60" s="434"/>
      <c r="H60" s="434"/>
      <c r="I60" s="434"/>
      <c r="J60" s="434"/>
      <c r="K60" s="434"/>
      <c r="L60" s="434"/>
      <c r="M60" s="434"/>
      <c r="N60" s="434"/>
      <c r="O60" s="434"/>
      <c r="P60" s="434"/>
      <c r="Q60" s="434"/>
      <c r="R60" s="434"/>
      <c r="S60" s="434"/>
      <c r="T60" s="434"/>
      <c r="U60" s="434"/>
      <c r="V60" s="434"/>
      <c r="W60" s="434"/>
      <c r="X60" s="748"/>
      <c r="Y60" s="755" t="s">
        <v>97</v>
      </c>
      <c r="Z60" s="756"/>
      <c r="AA60" s="756"/>
      <c r="AB60" s="756"/>
      <c r="AC60" s="756"/>
      <c r="AD60" s="756"/>
      <c r="AE60" s="756"/>
      <c r="AF60" s="756"/>
      <c r="AG60" s="756"/>
      <c r="AH60" s="442">
        <v>0.2031</v>
      </c>
      <c r="AI60" s="442"/>
      <c r="AJ60" s="442"/>
      <c r="AK60" s="442"/>
      <c r="AL60" s="442"/>
      <c r="AM60" s="442"/>
      <c r="AN60" s="443"/>
      <c r="AO60" s="728">
        <f>ROUND(AO59*AH60,2)</f>
        <v>233.81</v>
      </c>
      <c r="AP60" s="729"/>
      <c r="AQ60" s="729"/>
      <c r="AR60" s="730"/>
    </row>
    <row r="61" spans="1:44" ht="18" customHeight="1">
      <c r="A61" s="415" t="s">
        <v>376</v>
      </c>
      <c r="B61" s="415"/>
      <c r="C61" s="434"/>
      <c r="D61" s="434"/>
      <c r="E61" s="434"/>
      <c r="F61" s="434"/>
      <c r="G61" s="434"/>
      <c r="H61" s="434"/>
      <c r="I61" s="434"/>
      <c r="J61" s="434"/>
      <c r="K61" s="434"/>
      <c r="L61" s="434"/>
      <c r="M61" s="434"/>
      <c r="N61" s="434"/>
      <c r="O61" s="434"/>
      <c r="P61" s="434"/>
      <c r="Q61" s="434"/>
      <c r="R61" s="434"/>
      <c r="S61" s="434"/>
      <c r="T61" s="434"/>
      <c r="U61" s="434"/>
      <c r="V61" s="434"/>
      <c r="W61" s="434"/>
      <c r="X61" s="748"/>
      <c r="Y61" s="731" t="s">
        <v>98</v>
      </c>
      <c r="Z61" s="732"/>
      <c r="AA61" s="732"/>
      <c r="AB61" s="732"/>
      <c r="AC61" s="732"/>
      <c r="AD61" s="732"/>
      <c r="AE61" s="732"/>
      <c r="AF61" s="732"/>
      <c r="AG61" s="732"/>
      <c r="AH61" s="732"/>
      <c r="AI61" s="732"/>
      <c r="AJ61" s="732"/>
      <c r="AK61" s="732"/>
      <c r="AL61" s="732"/>
      <c r="AM61" s="732"/>
      <c r="AN61" s="733"/>
      <c r="AO61" s="734">
        <f>SUM(AO59:AR60)</f>
        <v>1385.0000000000002</v>
      </c>
      <c r="AP61" s="735"/>
      <c r="AQ61" s="735"/>
      <c r="AR61" s="736"/>
    </row>
    <row r="63" spans="1:44" ht="18" customHeight="1">
      <c r="C63" s="420" t="s">
        <v>99</v>
      </c>
      <c r="D63" s="421"/>
      <c r="E63" s="421"/>
      <c r="F63" s="421"/>
      <c r="G63" s="421"/>
      <c r="H63" s="421"/>
      <c r="I63" s="422"/>
      <c r="J63" s="422"/>
      <c r="K63" s="422"/>
      <c r="L63" s="422"/>
      <c r="M63" s="422"/>
      <c r="N63" s="422"/>
      <c r="O63" s="422"/>
      <c r="P63" s="422"/>
      <c r="Q63" s="422"/>
      <c r="R63" s="422"/>
      <c r="S63" s="422"/>
      <c r="T63" s="422"/>
      <c r="U63" s="422"/>
      <c r="V63" s="422"/>
      <c r="W63" s="422"/>
      <c r="X63" s="422"/>
      <c r="Y63" s="422"/>
      <c r="Z63" s="422"/>
      <c r="AA63" s="422"/>
      <c r="AB63" s="422"/>
      <c r="AC63" s="422"/>
      <c r="AD63" s="422"/>
      <c r="AE63" s="422"/>
      <c r="AF63" s="422"/>
      <c r="AG63" s="422"/>
      <c r="AH63" s="422"/>
      <c r="AI63" s="422"/>
      <c r="AJ63" s="422"/>
      <c r="AK63" s="422"/>
      <c r="AL63" s="422"/>
      <c r="AM63" s="422"/>
      <c r="AN63" s="422"/>
      <c r="AO63" s="422"/>
      <c r="AP63" s="422"/>
      <c r="AQ63" s="422"/>
      <c r="AR63" s="423"/>
    </row>
    <row r="64" spans="1:44" ht="18" customHeight="1">
      <c r="C64" s="411"/>
      <c r="D64" s="412"/>
      <c r="E64" s="412"/>
      <c r="F64" s="412"/>
      <c r="G64" s="412"/>
      <c r="H64" s="412"/>
      <c r="I64" s="409"/>
      <c r="J64" s="409"/>
      <c r="K64" s="409"/>
      <c r="L64" s="409"/>
      <c r="M64" s="409"/>
      <c r="N64" s="409"/>
      <c r="O64" s="409"/>
      <c r="P64" s="409"/>
      <c r="Q64" s="409"/>
      <c r="R64" s="409"/>
      <c r="S64" s="409"/>
      <c r="T64" s="409"/>
      <c r="U64" s="409"/>
      <c r="V64" s="409"/>
      <c r="W64" s="409"/>
      <c r="X64" s="409"/>
      <c r="Y64" s="409"/>
      <c r="Z64" s="409"/>
      <c r="AA64" s="409"/>
      <c r="AB64" s="409"/>
      <c r="AC64" s="409"/>
      <c r="AD64" s="409"/>
      <c r="AE64" s="409"/>
      <c r="AF64" s="409"/>
      <c r="AG64" s="409"/>
      <c r="AH64" s="409"/>
      <c r="AI64" s="409"/>
      <c r="AJ64" s="409"/>
      <c r="AK64" s="409"/>
      <c r="AL64" s="409"/>
      <c r="AM64" s="409"/>
      <c r="AN64" s="409"/>
      <c r="AO64" s="409"/>
      <c r="AP64" s="409"/>
      <c r="AQ64" s="409"/>
      <c r="AR64" s="410"/>
    </row>
    <row r="65" spans="3:44" ht="18" customHeight="1">
      <c r="C65" s="411"/>
      <c r="D65" s="412"/>
      <c r="E65" s="412"/>
      <c r="F65" s="412"/>
      <c r="G65" s="412"/>
      <c r="H65" s="412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409"/>
      <c r="AC65" s="409"/>
      <c r="AD65" s="409"/>
      <c r="AE65" s="409"/>
      <c r="AF65" s="409"/>
      <c r="AG65" s="409"/>
      <c r="AH65" s="409"/>
      <c r="AI65" s="409"/>
      <c r="AJ65" s="409"/>
      <c r="AK65" s="409"/>
      <c r="AL65" s="409"/>
      <c r="AM65" s="409"/>
      <c r="AN65" s="409"/>
      <c r="AO65" s="409"/>
      <c r="AP65" s="409"/>
      <c r="AQ65" s="409"/>
      <c r="AR65" s="410"/>
    </row>
    <row r="66" spans="3:44" ht="18" customHeight="1">
      <c r="C66" s="411"/>
      <c r="D66" s="412"/>
      <c r="E66" s="412"/>
      <c r="F66" s="412"/>
      <c r="G66" s="412"/>
      <c r="H66" s="412"/>
      <c r="I66" s="409"/>
      <c r="J66" s="409"/>
      <c r="K66" s="409"/>
      <c r="L66" s="409"/>
      <c r="M66" s="409"/>
      <c r="N66" s="409"/>
      <c r="O66" s="409"/>
      <c r="P66" s="409"/>
      <c r="Q66" s="409"/>
      <c r="R66" s="409"/>
      <c r="S66" s="409"/>
      <c r="T66" s="409"/>
      <c r="U66" s="409"/>
      <c r="V66" s="409"/>
      <c r="W66" s="409"/>
      <c r="X66" s="409"/>
      <c r="Y66" s="409"/>
      <c r="Z66" s="409"/>
      <c r="AA66" s="409"/>
      <c r="AB66" s="409"/>
      <c r="AC66" s="409"/>
      <c r="AD66" s="409"/>
      <c r="AE66" s="409"/>
      <c r="AF66" s="409"/>
      <c r="AG66" s="409"/>
      <c r="AH66" s="409"/>
      <c r="AI66" s="409"/>
      <c r="AJ66" s="409"/>
      <c r="AK66" s="409"/>
      <c r="AL66" s="409"/>
      <c r="AM66" s="409"/>
      <c r="AN66" s="409"/>
      <c r="AO66" s="409"/>
      <c r="AP66" s="409"/>
      <c r="AQ66" s="409"/>
      <c r="AR66" s="410"/>
    </row>
    <row r="67" spans="3:44" ht="18" customHeight="1">
      <c r="C67" s="411"/>
      <c r="D67" s="412"/>
      <c r="E67" s="412"/>
      <c r="F67" s="412"/>
      <c r="G67" s="412"/>
      <c r="H67" s="412"/>
      <c r="I67" s="409"/>
      <c r="J67" s="409"/>
      <c r="K67" s="409"/>
      <c r="L67" s="409"/>
      <c r="M67" s="409"/>
      <c r="N67" s="409"/>
      <c r="O67" s="409"/>
      <c r="P67" s="409"/>
      <c r="Q67" s="409"/>
      <c r="R67" s="409"/>
      <c r="S67" s="409"/>
      <c r="T67" s="409"/>
      <c r="U67" s="409"/>
      <c r="V67" s="409"/>
      <c r="W67" s="409"/>
      <c r="X67" s="409"/>
      <c r="Y67" s="409"/>
      <c r="Z67" s="409"/>
      <c r="AA67" s="409"/>
      <c r="AB67" s="409"/>
      <c r="AC67" s="409"/>
      <c r="AD67" s="409"/>
      <c r="AE67" s="409"/>
      <c r="AF67" s="409"/>
      <c r="AG67" s="409"/>
      <c r="AH67" s="409"/>
      <c r="AI67" s="409"/>
      <c r="AJ67" s="409"/>
      <c r="AK67" s="409"/>
      <c r="AL67" s="409"/>
      <c r="AM67" s="409"/>
      <c r="AN67" s="409"/>
      <c r="AO67" s="409"/>
      <c r="AP67" s="409"/>
      <c r="AQ67" s="409"/>
      <c r="AR67" s="410"/>
    </row>
    <row r="68" spans="3:44" ht="18" customHeight="1">
      <c r="C68" s="385"/>
      <c r="D68" s="386"/>
      <c r="E68" s="386"/>
      <c r="F68" s="386"/>
      <c r="G68" s="386"/>
      <c r="H68" s="386"/>
      <c r="I68" s="387"/>
      <c r="J68" s="387"/>
      <c r="K68" s="387"/>
      <c r="L68" s="387"/>
      <c r="M68" s="387"/>
      <c r="N68" s="387"/>
      <c r="O68" s="387"/>
      <c r="P68" s="387"/>
      <c r="Q68" s="387"/>
      <c r="R68" s="387"/>
      <c r="S68" s="387"/>
      <c r="T68" s="387"/>
      <c r="U68" s="387"/>
      <c r="V68" s="387"/>
      <c r="W68" s="387"/>
      <c r="X68" s="387"/>
      <c r="Y68" s="387"/>
      <c r="Z68" s="387"/>
      <c r="AA68" s="387"/>
      <c r="AB68" s="387"/>
      <c r="AC68" s="387"/>
      <c r="AD68" s="387"/>
      <c r="AE68" s="387"/>
      <c r="AF68" s="387"/>
      <c r="AG68" s="387"/>
      <c r="AH68" s="387"/>
      <c r="AI68" s="387"/>
      <c r="AJ68" s="387"/>
      <c r="AK68" s="387"/>
      <c r="AL68" s="387"/>
      <c r="AM68" s="387"/>
      <c r="AN68" s="387"/>
      <c r="AO68" s="387"/>
      <c r="AP68" s="387"/>
      <c r="AQ68" s="387"/>
      <c r="AR68" s="388"/>
    </row>
    <row r="70" spans="3:44" ht="18" customHeight="1">
      <c r="C70" s="389" t="s">
        <v>100</v>
      </c>
      <c r="D70" s="390"/>
      <c r="E70" s="390"/>
      <c r="F70" s="390"/>
      <c r="G70" s="390"/>
      <c r="H70" s="390"/>
      <c r="I70" s="390"/>
      <c r="J70" s="390"/>
      <c r="K70" s="390"/>
      <c r="L70" s="390"/>
      <c r="M70" s="390"/>
      <c r="N70" s="390"/>
      <c r="O70" s="390"/>
      <c r="P70" s="390"/>
      <c r="Q70" s="390"/>
      <c r="R70" s="390"/>
      <c r="S70" s="390"/>
      <c r="T70" s="390"/>
      <c r="U70" s="390"/>
      <c r="V70" s="390"/>
      <c r="W70" s="390"/>
      <c r="X70" s="390"/>
      <c r="Y70" s="390"/>
      <c r="Z70" s="390"/>
      <c r="AA70" s="391"/>
      <c r="AB70" s="392" t="str">
        <f>[4]C.UNIT.SERV.!$E$5</f>
        <v>DATA-BASE:      MAIO/2011/PR</v>
      </c>
      <c r="AC70" s="393"/>
      <c r="AD70" s="393"/>
      <c r="AE70" s="393"/>
      <c r="AF70" s="393"/>
      <c r="AG70" s="393"/>
      <c r="AH70" s="393"/>
      <c r="AI70" s="394"/>
      <c r="AJ70" s="392"/>
      <c r="AK70" s="393"/>
      <c r="AL70" s="393"/>
      <c r="AM70" s="393"/>
      <c r="AN70" s="393"/>
      <c r="AO70" s="393"/>
      <c r="AP70" s="393"/>
      <c r="AQ70" s="393"/>
      <c r="AR70" s="401"/>
    </row>
    <row r="71" spans="3:44" ht="18" customHeight="1">
      <c r="C71" s="404" t="s">
        <v>101</v>
      </c>
      <c r="D71" s="405"/>
      <c r="E71" s="405"/>
      <c r="F71" s="405"/>
      <c r="G71" s="405" t="s">
        <v>283</v>
      </c>
      <c r="H71" s="405"/>
      <c r="I71" s="405"/>
      <c r="J71" s="405"/>
      <c r="K71" s="405"/>
      <c r="L71" s="405"/>
      <c r="M71" s="405"/>
      <c r="N71" s="405"/>
      <c r="O71" s="405"/>
      <c r="P71" s="405"/>
      <c r="Q71" s="405"/>
      <c r="R71" s="405"/>
      <c r="S71" s="405"/>
      <c r="T71" s="405"/>
      <c r="U71" s="405"/>
      <c r="V71" s="405"/>
      <c r="W71" s="405"/>
      <c r="X71" s="405"/>
      <c r="Y71" s="405"/>
      <c r="Z71" s="405"/>
      <c r="AA71" s="406"/>
      <c r="AB71" s="395"/>
      <c r="AC71" s="396"/>
      <c r="AD71" s="396"/>
      <c r="AE71" s="396"/>
      <c r="AF71" s="396"/>
      <c r="AG71" s="396"/>
      <c r="AH71" s="396"/>
      <c r="AI71" s="397"/>
      <c r="AJ71" s="395"/>
      <c r="AK71" s="396"/>
      <c r="AL71" s="396"/>
      <c r="AM71" s="396"/>
      <c r="AN71" s="396"/>
      <c r="AO71" s="396"/>
      <c r="AP71" s="396"/>
      <c r="AQ71" s="396"/>
      <c r="AR71" s="402"/>
    </row>
    <row r="72" spans="3:44" ht="18" customHeight="1">
      <c r="C72" s="404" t="s">
        <v>102</v>
      </c>
      <c r="D72" s="405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5"/>
      <c r="Q72" s="405"/>
      <c r="R72" s="405"/>
      <c r="S72" s="405"/>
      <c r="T72" s="405"/>
      <c r="U72" s="405"/>
      <c r="V72" s="405"/>
      <c r="W72" s="405"/>
      <c r="X72" s="405"/>
      <c r="Y72" s="405"/>
      <c r="Z72" s="405"/>
      <c r="AA72" s="406"/>
      <c r="AB72" s="395"/>
      <c r="AC72" s="396"/>
      <c r="AD72" s="396"/>
      <c r="AE72" s="396"/>
      <c r="AF72" s="396"/>
      <c r="AG72" s="396"/>
      <c r="AH72" s="396"/>
      <c r="AI72" s="397"/>
      <c r="AJ72" s="395"/>
      <c r="AK72" s="396"/>
      <c r="AL72" s="396"/>
      <c r="AM72" s="396"/>
      <c r="AN72" s="396"/>
      <c r="AO72" s="396"/>
      <c r="AP72" s="396"/>
      <c r="AQ72" s="396"/>
      <c r="AR72" s="402"/>
    </row>
    <row r="73" spans="3:44" ht="18" customHeight="1">
      <c r="C73" s="407"/>
      <c r="D73" s="408"/>
      <c r="E73" s="408"/>
      <c r="F73" s="408"/>
      <c r="G73" s="408"/>
      <c r="H73" s="408"/>
      <c r="I73" s="408"/>
      <c r="J73" s="408"/>
      <c r="K73" s="408"/>
      <c r="L73" s="408"/>
      <c r="M73" s="408"/>
      <c r="N73" s="408"/>
      <c r="O73" s="408"/>
      <c r="P73" s="408"/>
      <c r="Q73" s="408"/>
      <c r="R73" s="408"/>
      <c r="S73" s="408"/>
      <c r="T73" s="408"/>
      <c r="U73" s="408"/>
      <c r="V73" s="408"/>
      <c r="W73" s="408"/>
      <c r="X73" s="408"/>
      <c r="Y73" s="408"/>
      <c r="Z73" s="408"/>
      <c r="AA73" s="408"/>
      <c r="AB73" s="398"/>
      <c r="AC73" s="399"/>
      <c r="AD73" s="399"/>
      <c r="AE73" s="399"/>
      <c r="AF73" s="399"/>
      <c r="AG73" s="399"/>
      <c r="AH73" s="399"/>
      <c r="AI73" s="400"/>
      <c r="AJ73" s="398"/>
      <c r="AK73" s="399"/>
      <c r="AL73" s="399"/>
      <c r="AM73" s="399"/>
      <c r="AN73" s="399"/>
      <c r="AO73" s="399"/>
      <c r="AP73" s="399"/>
      <c r="AQ73" s="399"/>
      <c r="AR73" s="403"/>
    </row>
    <row r="75" spans="3:44" ht="18" customHeight="1">
      <c r="C75" s="850" t="s">
        <v>64</v>
      </c>
      <c r="D75" s="851"/>
      <c r="E75" s="851"/>
      <c r="F75" s="851"/>
      <c r="G75" s="851"/>
      <c r="H75" s="851"/>
      <c r="I75" s="851"/>
      <c r="J75" s="851"/>
      <c r="K75" s="851"/>
      <c r="L75" s="851"/>
      <c r="M75" s="851"/>
      <c r="N75" s="851"/>
      <c r="O75" s="851"/>
      <c r="P75" s="851"/>
      <c r="Q75" s="851"/>
      <c r="R75" s="851"/>
      <c r="S75" s="851"/>
      <c r="T75" s="851"/>
      <c r="U75" s="851"/>
      <c r="V75" s="851"/>
      <c r="W75" s="851"/>
      <c r="X75" s="851"/>
      <c r="Y75" s="851"/>
      <c r="Z75" s="851"/>
      <c r="AA75" s="851"/>
      <c r="AB75" s="851"/>
      <c r="AC75" s="851"/>
      <c r="AD75" s="851"/>
      <c r="AE75" s="851"/>
      <c r="AF75" s="851"/>
      <c r="AG75" s="851"/>
      <c r="AH75" s="851"/>
      <c r="AI75" s="851"/>
      <c r="AJ75" s="851"/>
      <c r="AK75" s="851"/>
      <c r="AL75" s="851"/>
      <c r="AM75" s="851"/>
      <c r="AN75" s="851"/>
      <c r="AO75" s="851"/>
      <c r="AP75" s="851"/>
      <c r="AQ75" s="851"/>
      <c r="AR75" s="852"/>
    </row>
    <row r="76" spans="3:44" ht="18" customHeight="1">
      <c r="C76" s="853"/>
      <c r="D76" s="854"/>
      <c r="E76" s="854"/>
      <c r="F76" s="854"/>
      <c r="G76" s="854"/>
      <c r="H76" s="854"/>
      <c r="I76" s="854"/>
      <c r="J76" s="854"/>
      <c r="K76" s="854"/>
      <c r="L76" s="854"/>
      <c r="M76" s="854"/>
      <c r="N76" s="854"/>
      <c r="O76" s="854"/>
      <c r="P76" s="854"/>
      <c r="Q76" s="854"/>
      <c r="R76" s="854"/>
      <c r="S76" s="854"/>
      <c r="T76" s="854"/>
      <c r="U76" s="854"/>
      <c r="V76" s="854"/>
      <c r="W76" s="854"/>
      <c r="X76" s="854"/>
      <c r="Y76" s="854"/>
      <c r="Z76" s="854"/>
      <c r="AA76" s="854"/>
      <c r="AB76" s="854"/>
      <c r="AC76" s="854"/>
      <c r="AD76" s="854"/>
      <c r="AE76" s="854"/>
      <c r="AF76" s="854"/>
      <c r="AG76" s="854"/>
      <c r="AH76" s="854"/>
      <c r="AI76" s="854"/>
      <c r="AJ76" s="854"/>
      <c r="AK76" s="854"/>
      <c r="AL76" s="854"/>
      <c r="AM76" s="854"/>
      <c r="AN76" s="854"/>
      <c r="AO76" s="854"/>
      <c r="AP76" s="854"/>
      <c r="AQ76" s="854"/>
      <c r="AR76" s="855"/>
    </row>
    <row r="77" spans="3:44" ht="18" customHeight="1">
      <c r="C77" s="856" t="s">
        <v>65</v>
      </c>
      <c r="D77" s="857"/>
      <c r="E77" s="857"/>
      <c r="F77" s="857"/>
      <c r="G77" s="860" t="s">
        <v>377</v>
      </c>
      <c r="H77" s="860"/>
      <c r="I77" s="860"/>
      <c r="J77" s="861"/>
      <c r="K77" s="864" t="s">
        <v>66</v>
      </c>
      <c r="L77" s="865"/>
      <c r="M77" s="865"/>
      <c r="N77" s="865"/>
      <c r="O77" s="526" t="s">
        <v>416</v>
      </c>
      <c r="P77" s="526"/>
      <c r="Q77" s="526"/>
      <c r="R77" s="526"/>
      <c r="S77" s="526"/>
      <c r="T77" s="526"/>
      <c r="U77" s="526"/>
      <c r="V77" s="526"/>
      <c r="W77" s="526"/>
      <c r="X77" s="526"/>
      <c r="Y77" s="526"/>
      <c r="Z77" s="526"/>
      <c r="AA77" s="526"/>
      <c r="AB77" s="526"/>
      <c r="AC77" s="526"/>
      <c r="AD77" s="526"/>
      <c r="AE77" s="526"/>
      <c r="AF77" s="526"/>
      <c r="AG77" s="526"/>
      <c r="AH77" s="526"/>
      <c r="AI77" s="526"/>
      <c r="AJ77" s="526"/>
      <c r="AK77" s="527"/>
      <c r="AL77" s="864" t="s">
        <v>67</v>
      </c>
      <c r="AM77" s="865"/>
      <c r="AN77" s="865"/>
      <c r="AO77" s="865"/>
      <c r="AP77" s="843" t="s">
        <v>194</v>
      </c>
      <c r="AQ77" s="843"/>
      <c r="AR77" s="844"/>
    </row>
    <row r="78" spans="3:44" ht="18" customHeight="1">
      <c r="C78" s="858"/>
      <c r="D78" s="859"/>
      <c r="E78" s="859"/>
      <c r="F78" s="859"/>
      <c r="G78" s="862"/>
      <c r="H78" s="862"/>
      <c r="I78" s="862"/>
      <c r="J78" s="863"/>
      <c r="K78" s="866"/>
      <c r="L78" s="867"/>
      <c r="M78" s="867"/>
      <c r="N78" s="867"/>
      <c r="O78" s="528"/>
      <c r="P78" s="528"/>
      <c r="Q78" s="528"/>
      <c r="R78" s="528"/>
      <c r="S78" s="528"/>
      <c r="T78" s="528"/>
      <c r="U78" s="528"/>
      <c r="V78" s="528"/>
      <c r="W78" s="528"/>
      <c r="X78" s="528"/>
      <c r="Y78" s="528"/>
      <c r="Z78" s="528"/>
      <c r="AA78" s="528"/>
      <c r="AB78" s="528"/>
      <c r="AC78" s="528"/>
      <c r="AD78" s="528"/>
      <c r="AE78" s="528"/>
      <c r="AF78" s="528"/>
      <c r="AG78" s="528"/>
      <c r="AH78" s="528"/>
      <c r="AI78" s="528"/>
      <c r="AJ78" s="528"/>
      <c r="AK78" s="529"/>
      <c r="AL78" s="866"/>
      <c r="AM78" s="867"/>
      <c r="AN78" s="867"/>
      <c r="AO78" s="867"/>
      <c r="AP78" s="845"/>
      <c r="AQ78" s="845"/>
      <c r="AR78" s="846"/>
    </row>
    <row r="80" spans="3:44" ht="18" customHeight="1">
      <c r="C80" s="794" t="s">
        <v>43</v>
      </c>
      <c r="D80" s="774"/>
      <c r="E80" s="775"/>
      <c r="F80" s="773" t="s">
        <v>68</v>
      </c>
      <c r="G80" s="774"/>
      <c r="H80" s="774"/>
      <c r="I80" s="774"/>
      <c r="J80" s="774"/>
      <c r="K80" s="774"/>
      <c r="L80" s="774"/>
      <c r="M80" s="774"/>
      <c r="N80" s="774"/>
      <c r="O80" s="774"/>
      <c r="P80" s="774"/>
      <c r="Q80" s="774"/>
      <c r="R80" s="774"/>
      <c r="S80" s="774"/>
      <c r="T80" s="774"/>
      <c r="U80" s="775"/>
      <c r="V80" s="773" t="s">
        <v>249</v>
      </c>
      <c r="W80" s="774"/>
      <c r="X80" s="775"/>
      <c r="Y80" s="847" t="s">
        <v>69</v>
      </c>
      <c r="Z80" s="848"/>
      <c r="AA80" s="848"/>
      <c r="AB80" s="848"/>
      <c r="AC80" s="848"/>
      <c r="AD80" s="848"/>
      <c r="AE80" s="848"/>
      <c r="AF80" s="849"/>
      <c r="AG80" s="847" t="s">
        <v>70</v>
      </c>
      <c r="AH80" s="848"/>
      <c r="AI80" s="848"/>
      <c r="AJ80" s="848"/>
      <c r="AK80" s="848"/>
      <c r="AL80" s="848"/>
      <c r="AM80" s="848"/>
      <c r="AN80" s="849"/>
      <c r="AO80" s="773" t="s">
        <v>71</v>
      </c>
      <c r="AP80" s="774"/>
      <c r="AQ80" s="774"/>
      <c r="AR80" s="779"/>
    </row>
    <row r="81" spans="3:44" ht="18" customHeight="1">
      <c r="C81" s="795"/>
      <c r="D81" s="777"/>
      <c r="E81" s="778"/>
      <c r="F81" s="776"/>
      <c r="G81" s="777"/>
      <c r="H81" s="777"/>
      <c r="I81" s="777"/>
      <c r="J81" s="777"/>
      <c r="K81" s="777"/>
      <c r="L81" s="777"/>
      <c r="M81" s="777"/>
      <c r="N81" s="777"/>
      <c r="O81" s="777"/>
      <c r="P81" s="777"/>
      <c r="Q81" s="777"/>
      <c r="R81" s="777"/>
      <c r="S81" s="777"/>
      <c r="T81" s="777"/>
      <c r="U81" s="778"/>
      <c r="V81" s="776"/>
      <c r="W81" s="777"/>
      <c r="X81" s="778"/>
      <c r="Y81" s="834" t="s">
        <v>72</v>
      </c>
      <c r="Z81" s="835"/>
      <c r="AA81" s="835"/>
      <c r="AB81" s="836"/>
      <c r="AC81" s="834" t="s">
        <v>73</v>
      </c>
      <c r="AD81" s="835"/>
      <c r="AE81" s="835"/>
      <c r="AF81" s="836"/>
      <c r="AG81" s="834" t="s">
        <v>72</v>
      </c>
      <c r="AH81" s="835"/>
      <c r="AI81" s="835"/>
      <c r="AJ81" s="836"/>
      <c r="AK81" s="834" t="s">
        <v>73</v>
      </c>
      <c r="AL81" s="835"/>
      <c r="AM81" s="835"/>
      <c r="AN81" s="836"/>
      <c r="AO81" s="776"/>
      <c r="AP81" s="777"/>
      <c r="AQ81" s="777"/>
      <c r="AR81" s="780"/>
    </row>
    <row r="82" spans="3:44" ht="18" customHeight="1">
      <c r="C82" s="781"/>
      <c r="D82" s="782"/>
      <c r="E82" s="783"/>
      <c r="F82" s="493"/>
      <c r="G82" s="493"/>
      <c r="H82" s="493"/>
      <c r="I82" s="493"/>
      <c r="J82" s="493"/>
      <c r="K82" s="493"/>
      <c r="L82" s="493"/>
      <c r="M82" s="493"/>
      <c r="N82" s="493"/>
      <c r="O82" s="493"/>
      <c r="P82" s="493"/>
      <c r="Q82" s="493"/>
      <c r="R82" s="493"/>
      <c r="S82" s="493"/>
      <c r="T82" s="493"/>
      <c r="U82" s="493"/>
      <c r="V82" s="837"/>
      <c r="W82" s="838"/>
      <c r="X82" s="839"/>
      <c r="Y82" s="837"/>
      <c r="Z82" s="838"/>
      <c r="AA82" s="838"/>
      <c r="AB82" s="839"/>
      <c r="AC82" s="868"/>
      <c r="AD82" s="869"/>
      <c r="AE82" s="869"/>
      <c r="AF82" s="870"/>
      <c r="AG82" s="491"/>
      <c r="AH82" s="491"/>
      <c r="AI82" s="491"/>
      <c r="AJ82" s="491"/>
      <c r="AK82" s="491"/>
      <c r="AL82" s="491"/>
      <c r="AM82" s="491"/>
      <c r="AN82" s="491"/>
      <c r="AO82" s="491"/>
      <c r="AP82" s="491"/>
      <c r="AQ82" s="491"/>
      <c r="AR82" s="492"/>
    </row>
    <row r="83" spans="3:44" ht="18" customHeight="1">
      <c r="C83" s="758"/>
      <c r="D83" s="759"/>
      <c r="E83" s="760"/>
      <c r="F83" s="493"/>
      <c r="G83" s="493"/>
      <c r="H83" s="493"/>
      <c r="I83" s="493"/>
      <c r="J83" s="493"/>
      <c r="K83" s="493"/>
      <c r="L83" s="493"/>
      <c r="M83" s="493"/>
      <c r="N83" s="493"/>
      <c r="O83" s="493"/>
      <c r="P83" s="493"/>
      <c r="Q83" s="493"/>
      <c r="R83" s="493"/>
      <c r="S83" s="493"/>
      <c r="T83" s="493"/>
      <c r="U83" s="493"/>
      <c r="V83" s="466"/>
      <c r="W83" s="467"/>
      <c r="X83" s="468"/>
      <c r="Y83" s="466"/>
      <c r="Z83" s="467"/>
      <c r="AA83" s="467"/>
      <c r="AB83" s="468"/>
      <c r="AC83" s="828"/>
      <c r="AD83" s="829"/>
      <c r="AE83" s="829"/>
      <c r="AF83" s="830"/>
      <c r="AG83" s="491"/>
      <c r="AH83" s="491"/>
      <c r="AI83" s="491"/>
      <c r="AJ83" s="491"/>
      <c r="AK83" s="491"/>
      <c r="AL83" s="491"/>
      <c r="AM83" s="491"/>
      <c r="AN83" s="491"/>
      <c r="AO83" s="491"/>
      <c r="AP83" s="491"/>
      <c r="AQ83" s="491"/>
      <c r="AR83" s="492"/>
    </row>
    <row r="84" spans="3:44" ht="18" customHeight="1">
      <c r="C84" s="758"/>
      <c r="D84" s="759"/>
      <c r="E84" s="760"/>
      <c r="F84" s="493"/>
      <c r="G84" s="493"/>
      <c r="H84" s="493"/>
      <c r="I84" s="493"/>
      <c r="J84" s="493"/>
      <c r="K84" s="493"/>
      <c r="L84" s="493"/>
      <c r="M84" s="493"/>
      <c r="N84" s="493"/>
      <c r="O84" s="493"/>
      <c r="P84" s="493"/>
      <c r="Q84" s="493"/>
      <c r="R84" s="493"/>
      <c r="S84" s="493"/>
      <c r="T84" s="493"/>
      <c r="U84" s="493"/>
      <c r="V84" s="466"/>
      <c r="W84" s="467"/>
      <c r="X84" s="468"/>
      <c r="Y84" s="466"/>
      <c r="Z84" s="467"/>
      <c r="AA84" s="467"/>
      <c r="AB84" s="468"/>
      <c r="AC84" s="828"/>
      <c r="AD84" s="829"/>
      <c r="AE84" s="829"/>
      <c r="AF84" s="830"/>
      <c r="AG84" s="491"/>
      <c r="AH84" s="491"/>
      <c r="AI84" s="491"/>
      <c r="AJ84" s="491"/>
      <c r="AK84" s="491"/>
      <c r="AL84" s="491"/>
      <c r="AM84" s="491"/>
      <c r="AN84" s="491"/>
      <c r="AO84" s="491"/>
      <c r="AP84" s="491"/>
      <c r="AQ84" s="491"/>
      <c r="AR84" s="492"/>
    </row>
    <row r="85" spans="3:44" ht="18" customHeight="1">
      <c r="C85" s="758"/>
      <c r="D85" s="759"/>
      <c r="E85" s="760"/>
      <c r="F85" s="493"/>
      <c r="G85" s="493"/>
      <c r="H85" s="493"/>
      <c r="I85" s="493"/>
      <c r="J85" s="493"/>
      <c r="K85" s="493"/>
      <c r="L85" s="493"/>
      <c r="M85" s="493"/>
      <c r="N85" s="493"/>
      <c r="O85" s="493"/>
      <c r="P85" s="493"/>
      <c r="Q85" s="493"/>
      <c r="R85" s="493"/>
      <c r="S85" s="493"/>
      <c r="T85" s="493"/>
      <c r="U85" s="493"/>
      <c r="V85" s="466"/>
      <c r="W85" s="467"/>
      <c r="X85" s="468"/>
      <c r="Y85" s="466"/>
      <c r="Z85" s="467"/>
      <c r="AA85" s="467"/>
      <c r="AB85" s="468"/>
      <c r="AC85" s="828"/>
      <c r="AD85" s="829"/>
      <c r="AE85" s="829"/>
      <c r="AF85" s="830"/>
      <c r="AG85" s="491"/>
      <c r="AH85" s="491"/>
      <c r="AI85" s="491"/>
      <c r="AJ85" s="491"/>
      <c r="AK85" s="491"/>
      <c r="AL85" s="491"/>
      <c r="AM85" s="491"/>
      <c r="AN85" s="491"/>
      <c r="AO85" s="491"/>
      <c r="AP85" s="491"/>
      <c r="AQ85" s="491"/>
      <c r="AR85" s="492"/>
    </row>
    <row r="86" spans="3:44" ht="18" customHeight="1">
      <c r="C86" s="758"/>
      <c r="D86" s="759"/>
      <c r="E86" s="760"/>
      <c r="F86" s="493"/>
      <c r="G86" s="493"/>
      <c r="H86" s="493"/>
      <c r="I86" s="493"/>
      <c r="J86" s="493"/>
      <c r="K86" s="493"/>
      <c r="L86" s="493"/>
      <c r="M86" s="493"/>
      <c r="N86" s="493"/>
      <c r="O86" s="493"/>
      <c r="P86" s="493"/>
      <c r="Q86" s="493"/>
      <c r="R86" s="493"/>
      <c r="S86" s="493"/>
      <c r="T86" s="493"/>
      <c r="U86" s="493"/>
      <c r="V86" s="466"/>
      <c r="W86" s="467"/>
      <c r="X86" s="468"/>
      <c r="Y86" s="466"/>
      <c r="Z86" s="467"/>
      <c r="AA86" s="467"/>
      <c r="AB86" s="468"/>
      <c r="AC86" s="828"/>
      <c r="AD86" s="829"/>
      <c r="AE86" s="829"/>
      <c r="AF86" s="830"/>
      <c r="AG86" s="491"/>
      <c r="AH86" s="491"/>
      <c r="AI86" s="491"/>
      <c r="AJ86" s="491"/>
      <c r="AK86" s="491"/>
      <c r="AL86" s="491"/>
      <c r="AM86" s="491"/>
      <c r="AN86" s="491"/>
      <c r="AO86" s="491"/>
      <c r="AP86" s="491"/>
      <c r="AQ86" s="491"/>
      <c r="AR86" s="492"/>
    </row>
    <row r="87" spans="3:44" ht="18" customHeight="1">
      <c r="C87" s="758"/>
      <c r="D87" s="759"/>
      <c r="E87" s="760"/>
      <c r="F87" s="493"/>
      <c r="G87" s="493"/>
      <c r="H87" s="493"/>
      <c r="I87" s="493"/>
      <c r="J87" s="493"/>
      <c r="K87" s="493"/>
      <c r="L87" s="493"/>
      <c r="M87" s="493"/>
      <c r="N87" s="493"/>
      <c r="O87" s="493"/>
      <c r="P87" s="493"/>
      <c r="Q87" s="493"/>
      <c r="R87" s="493"/>
      <c r="S87" s="493"/>
      <c r="T87" s="493"/>
      <c r="U87" s="493"/>
      <c r="V87" s="466"/>
      <c r="W87" s="467"/>
      <c r="X87" s="468"/>
      <c r="Y87" s="466"/>
      <c r="Z87" s="467"/>
      <c r="AA87" s="467"/>
      <c r="AB87" s="468"/>
      <c r="AC87" s="828"/>
      <c r="AD87" s="829"/>
      <c r="AE87" s="829"/>
      <c r="AF87" s="830"/>
      <c r="AG87" s="491"/>
      <c r="AH87" s="491"/>
      <c r="AI87" s="491"/>
      <c r="AJ87" s="491"/>
      <c r="AK87" s="491"/>
      <c r="AL87" s="491"/>
      <c r="AM87" s="491"/>
      <c r="AN87" s="491"/>
      <c r="AO87" s="491"/>
      <c r="AP87" s="491"/>
      <c r="AQ87" s="491"/>
      <c r="AR87" s="492"/>
    </row>
    <row r="88" spans="3:44" ht="18" customHeight="1">
      <c r="C88" s="758"/>
      <c r="D88" s="759"/>
      <c r="E88" s="760"/>
      <c r="F88" s="796"/>
      <c r="G88" s="797"/>
      <c r="H88" s="797"/>
      <c r="I88" s="797"/>
      <c r="J88" s="797"/>
      <c r="K88" s="797"/>
      <c r="L88" s="797"/>
      <c r="M88" s="797"/>
      <c r="N88" s="797"/>
      <c r="O88" s="797"/>
      <c r="P88" s="797"/>
      <c r="Q88" s="797"/>
      <c r="R88" s="797"/>
      <c r="S88" s="797"/>
      <c r="T88" s="797"/>
      <c r="U88" s="798"/>
      <c r="V88" s="466"/>
      <c r="W88" s="467"/>
      <c r="X88" s="468"/>
      <c r="Y88" s="466"/>
      <c r="Z88" s="467"/>
      <c r="AA88" s="467"/>
      <c r="AB88" s="468"/>
      <c r="AC88" s="828"/>
      <c r="AD88" s="829"/>
      <c r="AE88" s="829"/>
      <c r="AF88" s="830"/>
      <c r="AG88" s="466"/>
      <c r="AH88" s="467"/>
      <c r="AI88" s="467"/>
      <c r="AJ88" s="468"/>
      <c r="AK88" s="466"/>
      <c r="AL88" s="467"/>
      <c r="AM88" s="467"/>
      <c r="AN88" s="468"/>
      <c r="AO88" s="466"/>
      <c r="AP88" s="467"/>
      <c r="AQ88" s="467"/>
      <c r="AR88" s="823"/>
    </row>
    <row r="89" spans="3:44" ht="18" customHeight="1">
      <c r="C89" s="758"/>
      <c r="D89" s="759"/>
      <c r="E89" s="760"/>
      <c r="F89" s="796"/>
      <c r="G89" s="797"/>
      <c r="H89" s="797"/>
      <c r="I89" s="797"/>
      <c r="J89" s="797"/>
      <c r="K89" s="797"/>
      <c r="L89" s="797"/>
      <c r="M89" s="797"/>
      <c r="N89" s="797"/>
      <c r="O89" s="797"/>
      <c r="P89" s="797"/>
      <c r="Q89" s="797"/>
      <c r="R89" s="797"/>
      <c r="S89" s="797"/>
      <c r="T89" s="797"/>
      <c r="U89" s="798"/>
      <c r="V89" s="466"/>
      <c r="W89" s="467"/>
      <c r="X89" s="468"/>
      <c r="Y89" s="466"/>
      <c r="Z89" s="467"/>
      <c r="AA89" s="467"/>
      <c r="AB89" s="468"/>
      <c r="AC89" s="828"/>
      <c r="AD89" s="829"/>
      <c r="AE89" s="829"/>
      <c r="AF89" s="830"/>
      <c r="AG89" s="466"/>
      <c r="AH89" s="467"/>
      <c r="AI89" s="467"/>
      <c r="AJ89" s="468"/>
      <c r="AK89" s="466"/>
      <c r="AL89" s="467"/>
      <c r="AM89" s="467"/>
      <c r="AN89" s="468"/>
      <c r="AO89" s="466"/>
      <c r="AP89" s="467"/>
      <c r="AQ89" s="467"/>
      <c r="AR89" s="823"/>
    </row>
    <row r="90" spans="3:44" ht="18" customHeight="1">
      <c r="C90" s="743"/>
      <c r="D90" s="744"/>
      <c r="E90" s="744"/>
      <c r="F90" s="744"/>
      <c r="G90" s="744"/>
      <c r="H90" s="744"/>
      <c r="I90" s="744"/>
      <c r="J90" s="744"/>
      <c r="K90" s="744"/>
      <c r="L90" s="744"/>
      <c r="M90" s="744"/>
      <c r="N90" s="744"/>
      <c r="O90" s="744"/>
      <c r="P90" s="744"/>
      <c r="Q90" s="744"/>
      <c r="R90" s="744"/>
      <c r="S90" s="744"/>
      <c r="T90" s="744"/>
      <c r="U90" s="744"/>
      <c r="V90" s="744"/>
      <c r="W90" s="744"/>
      <c r="X90" s="824"/>
      <c r="Y90" s="825" t="s">
        <v>74</v>
      </c>
      <c r="Z90" s="826"/>
      <c r="AA90" s="826"/>
      <c r="AB90" s="826"/>
      <c r="AC90" s="826"/>
      <c r="AD90" s="826"/>
      <c r="AE90" s="826"/>
      <c r="AF90" s="826"/>
      <c r="AG90" s="826"/>
      <c r="AH90" s="826"/>
      <c r="AI90" s="826"/>
      <c r="AJ90" s="826"/>
      <c r="AK90" s="826"/>
      <c r="AL90" s="826"/>
      <c r="AM90" s="826"/>
      <c r="AN90" s="827"/>
      <c r="AO90" s="477">
        <f>SUM(AO82:AR89)</f>
        <v>0</v>
      </c>
      <c r="AP90" s="746"/>
      <c r="AQ90" s="746"/>
      <c r="AR90" s="747"/>
    </row>
    <row r="92" spans="3:44" ht="18" customHeight="1">
      <c r="C92" s="794" t="s">
        <v>43</v>
      </c>
      <c r="D92" s="774"/>
      <c r="E92" s="775"/>
      <c r="F92" s="773" t="s">
        <v>75</v>
      </c>
      <c r="G92" s="774"/>
      <c r="H92" s="774"/>
      <c r="I92" s="774"/>
      <c r="J92" s="774"/>
      <c r="K92" s="774"/>
      <c r="L92" s="774"/>
      <c r="M92" s="774"/>
      <c r="N92" s="774"/>
      <c r="O92" s="774"/>
      <c r="P92" s="774"/>
      <c r="Q92" s="774"/>
      <c r="R92" s="774"/>
      <c r="S92" s="774"/>
      <c r="T92" s="774"/>
      <c r="U92" s="774"/>
      <c r="V92" s="774"/>
      <c r="W92" s="774"/>
      <c r="X92" s="774"/>
      <c r="Y92" s="774"/>
      <c r="Z92" s="774"/>
      <c r="AA92" s="774"/>
      <c r="AB92" s="775"/>
      <c r="AC92" s="773" t="s">
        <v>76</v>
      </c>
      <c r="AD92" s="774"/>
      <c r="AE92" s="774"/>
      <c r="AF92" s="775"/>
      <c r="AG92" s="773" t="s">
        <v>249</v>
      </c>
      <c r="AH92" s="774"/>
      <c r="AI92" s="774"/>
      <c r="AJ92" s="775"/>
      <c r="AK92" s="773" t="s">
        <v>77</v>
      </c>
      <c r="AL92" s="774"/>
      <c r="AM92" s="774"/>
      <c r="AN92" s="775"/>
      <c r="AO92" s="773" t="s">
        <v>71</v>
      </c>
      <c r="AP92" s="774"/>
      <c r="AQ92" s="774"/>
      <c r="AR92" s="779"/>
    </row>
    <row r="93" spans="3:44" ht="18" customHeight="1">
      <c r="C93" s="795"/>
      <c r="D93" s="777"/>
      <c r="E93" s="778"/>
      <c r="F93" s="776"/>
      <c r="G93" s="777"/>
      <c r="H93" s="777"/>
      <c r="I93" s="777"/>
      <c r="J93" s="777"/>
      <c r="K93" s="777"/>
      <c r="L93" s="777"/>
      <c r="M93" s="777"/>
      <c r="N93" s="777"/>
      <c r="O93" s="777"/>
      <c r="P93" s="777"/>
      <c r="Q93" s="777"/>
      <c r="R93" s="777"/>
      <c r="S93" s="777"/>
      <c r="T93" s="777"/>
      <c r="U93" s="777"/>
      <c r="V93" s="777"/>
      <c r="W93" s="777"/>
      <c r="X93" s="777"/>
      <c r="Y93" s="777"/>
      <c r="Z93" s="777"/>
      <c r="AA93" s="777"/>
      <c r="AB93" s="778"/>
      <c r="AC93" s="776"/>
      <c r="AD93" s="777"/>
      <c r="AE93" s="777"/>
      <c r="AF93" s="778"/>
      <c r="AG93" s="776"/>
      <c r="AH93" s="777"/>
      <c r="AI93" s="777"/>
      <c r="AJ93" s="778"/>
      <c r="AK93" s="776"/>
      <c r="AL93" s="777"/>
      <c r="AM93" s="777"/>
      <c r="AN93" s="778"/>
      <c r="AO93" s="776"/>
      <c r="AP93" s="777"/>
      <c r="AQ93" s="777"/>
      <c r="AR93" s="780"/>
    </row>
    <row r="94" spans="3:44" ht="18" customHeight="1">
      <c r="C94" s="781" t="s">
        <v>940</v>
      </c>
      <c r="D94" s="782"/>
      <c r="E94" s="783"/>
      <c r="F94" s="493" t="s">
        <v>105</v>
      </c>
      <c r="G94" s="493"/>
      <c r="H94" s="493"/>
      <c r="I94" s="493"/>
      <c r="J94" s="493"/>
      <c r="K94" s="493"/>
      <c r="L94" s="493"/>
      <c r="M94" s="493"/>
      <c r="N94" s="493"/>
      <c r="O94" s="493"/>
      <c r="P94" s="493"/>
      <c r="Q94" s="493"/>
      <c r="R94" s="493"/>
      <c r="S94" s="493"/>
      <c r="T94" s="493"/>
      <c r="U94" s="493"/>
      <c r="V94" s="493"/>
      <c r="W94" s="493"/>
      <c r="X94" s="493"/>
      <c r="Y94" s="493"/>
      <c r="Z94" s="493"/>
      <c r="AA94" s="493"/>
      <c r="AB94" s="493"/>
      <c r="AC94" s="770"/>
      <c r="AD94" s="771"/>
      <c r="AE94" s="771"/>
      <c r="AF94" s="790"/>
      <c r="AG94" s="770">
        <v>2</v>
      </c>
      <c r="AH94" s="771"/>
      <c r="AI94" s="771"/>
      <c r="AJ94" s="790"/>
      <c r="AK94" s="449">
        <f>VLOOKUP(C94,[4]MÃODEOBRA!A$1:D$65536,4,FALSE)</f>
        <v>22.98488</v>
      </c>
      <c r="AL94" s="449"/>
      <c r="AM94" s="449"/>
      <c r="AN94" s="449"/>
      <c r="AO94" s="491">
        <f>ROUND(AG94*AK94,2)</f>
        <v>45.97</v>
      </c>
      <c r="AP94" s="491"/>
      <c r="AQ94" s="491"/>
      <c r="AR94" s="492"/>
    </row>
    <row r="95" spans="3:44" ht="18" customHeight="1">
      <c r="C95" s="758"/>
      <c r="D95" s="759"/>
      <c r="E95" s="760"/>
      <c r="F95" s="493"/>
      <c r="G95" s="493"/>
      <c r="H95" s="493"/>
      <c r="I95" s="493"/>
      <c r="J95" s="493"/>
      <c r="K95" s="493"/>
      <c r="L95" s="493"/>
      <c r="M95" s="493"/>
      <c r="N95" s="493"/>
      <c r="O95" s="493"/>
      <c r="P95" s="493"/>
      <c r="Q95" s="493"/>
      <c r="R95" s="493"/>
      <c r="S95" s="493"/>
      <c r="T95" s="493"/>
      <c r="U95" s="493"/>
      <c r="V95" s="493"/>
      <c r="W95" s="493"/>
      <c r="X95" s="493"/>
      <c r="Y95" s="493"/>
      <c r="Z95" s="493"/>
      <c r="AA95" s="493"/>
      <c r="AB95" s="493"/>
      <c r="AC95" s="740"/>
      <c r="AD95" s="741"/>
      <c r="AE95" s="741"/>
      <c r="AF95" s="757"/>
      <c r="AG95" s="740"/>
      <c r="AH95" s="741"/>
      <c r="AI95" s="741"/>
      <c r="AJ95" s="757"/>
      <c r="AK95" s="449"/>
      <c r="AL95" s="449"/>
      <c r="AM95" s="449"/>
      <c r="AN95" s="449"/>
      <c r="AO95" s="491"/>
      <c r="AP95" s="491"/>
      <c r="AQ95" s="491"/>
      <c r="AR95" s="492"/>
    </row>
    <row r="96" spans="3:44" ht="18" customHeight="1">
      <c r="C96" s="758"/>
      <c r="D96" s="759"/>
      <c r="E96" s="760"/>
      <c r="F96" s="796"/>
      <c r="G96" s="797"/>
      <c r="H96" s="797"/>
      <c r="I96" s="797"/>
      <c r="J96" s="797"/>
      <c r="K96" s="797"/>
      <c r="L96" s="797"/>
      <c r="M96" s="797"/>
      <c r="N96" s="797"/>
      <c r="O96" s="797"/>
      <c r="P96" s="797"/>
      <c r="Q96" s="797"/>
      <c r="R96" s="797"/>
      <c r="S96" s="797"/>
      <c r="T96" s="797"/>
      <c r="U96" s="797"/>
      <c r="V96" s="797"/>
      <c r="W96" s="797"/>
      <c r="X96" s="797"/>
      <c r="Y96" s="797"/>
      <c r="Z96" s="797"/>
      <c r="AA96" s="797"/>
      <c r="AB96" s="798"/>
      <c r="AC96" s="740"/>
      <c r="AD96" s="741"/>
      <c r="AE96" s="741"/>
      <c r="AF96" s="757"/>
      <c r="AG96" s="740"/>
      <c r="AH96" s="741"/>
      <c r="AI96" s="741"/>
      <c r="AJ96" s="757"/>
      <c r="AK96" s="740"/>
      <c r="AL96" s="741"/>
      <c r="AM96" s="741"/>
      <c r="AN96" s="757"/>
      <c r="AO96" s="466"/>
      <c r="AP96" s="467"/>
      <c r="AQ96" s="467"/>
      <c r="AR96" s="823"/>
    </row>
    <row r="97" spans="3:44" ht="18" customHeight="1">
      <c r="C97" s="758"/>
      <c r="D97" s="759"/>
      <c r="E97" s="760"/>
      <c r="F97" s="796"/>
      <c r="G97" s="797"/>
      <c r="H97" s="797"/>
      <c r="I97" s="797"/>
      <c r="J97" s="797"/>
      <c r="K97" s="797"/>
      <c r="L97" s="797"/>
      <c r="M97" s="797"/>
      <c r="N97" s="797"/>
      <c r="O97" s="797"/>
      <c r="P97" s="797"/>
      <c r="Q97" s="797"/>
      <c r="R97" s="797"/>
      <c r="S97" s="797"/>
      <c r="T97" s="797"/>
      <c r="U97" s="797"/>
      <c r="V97" s="797"/>
      <c r="W97" s="797"/>
      <c r="X97" s="797"/>
      <c r="Y97" s="797"/>
      <c r="Z97" s="797"/>
      <c r="AA97" s="797"/>
      <c r="AB97" s="798"/>
      <c r="AC97" s="740"/>
      <c r="AD97" s="741"/>
      <c r="AE97" s="741"/>
      <c r="AF97" s="757"/>
      <c r="AG97" s="740"/>
      <c r="AH97" s="741"/>
      <c r="AI97" s="741"/>
      <c r="AJ97" s="757"/>
      <c r="AK97" s="740"/>
      <c r="AL97" s="741"/>
      <c r="AM97" s="741"/>
      <c r="AN97" s="757"/>
      <c r="AO97" s="466"/>
      <c r="AP97" s="467"/>
      <c r="AQ97" s="467"/>
      <c r="AR97" s="823"/>
    </row>
    <row r="98" spans="3:44" ht="18" customHeight="1">
      <c r="C98" s="758"/>
      <c r="D98" s="759"/>
      <c r="E98" s="760"/>
      <c r="F98" s="796"/>
      <c r="G98" s="797"/>
      <c r="H98" s="797"/>
      <c r="I98" s="797"/>
      <c r="J98" s="797"/>
      <c r="K98" s="797"/>
      <c r="L98" s="797"/>
      <c r="M98" s="797"/>
      <c r="N98" s="797"/>
      <c r="O98" s="797"/>
      <c r="P98" s="797"/>
      <c r="Q98" s="797"/>
      <c r="R98" s="797"/>
      <c r="S98" s="797"/>
      <c r="T98" s="797"/>
      <c r="U98" s="797"/>
      <c r="V98" s="797"/>
      <c r="W98" s="797"/>
      <c r="X98" s="797"/>
      <c r="Y98" s="797"/>
      <c r="Z98" s="797"/>
      <c r="AA98" s="797"/>
      <c r="AB98" s="798"/>
      <c r="AC98" s="740"/>
      <c r="AD98" s="741"/>
      <c r="AE98" s="741"/>
      <c r="AF98" s="757"/>
      <c r="AG98" s="740"/>
      <c r="AH98" s="741"/>
      <c r="AI98" s="741"/>
      <c r="AJ98" s="757"/>
      <c r="AK98" s="740"/>
      <c r="AL98" s="741"/>
      <c r="AM98" s="741"/>
      <c r="AN98" s="757"/>
      <c r="AO98" s="466"/>
      <c r="AP98" s="467"/>
      <c r="AQ98" s="467"/>
      <c r="AR98" s="823"/>
    </row>
    <row r="99" spans="3:44" ht="18" customHeight="1">
      <c r="C99" s="758"/>
      <c r="D99" s="759"/>
      <c r="E99" s="760"/>
      <c r="F99" s="796"/>
      <c r="G99" s="797"/>
      <c r="H99" s="797"/>
      <c r="I99" s="797"/>
      <c r="J99" s="797"/>
      <c r="K99" s="797"/>
      <c r="L99" s="797"/>
      <c r="M99" s="797"/>
      <c r="N99" s="797"/>
      <c r="O99" s="797"/>
      <c r="P99" s="797"/>
      <c r="Q99" s="797"/>
      <c r="R99" s="797"/>
      <c r="S99" s="797"/>
      <c r="T99" s="797"/>
      <c r="U99" s="797"/>
      <c r="V99" s="797"/>
      <c r="W99" s="797"/>
      <c r="X99" s="797"/>
      <c r="Y99" s="797"/>
      <c r="Z99" s="797"/>
      <c r="AA99" s="797"/>
      <c r="AB99" s="798"/>
      <c r="AC99" s="740"/>
      <c r="AD99" s="741"/>
      <c r="AE99" s="741"/>
      <c r="AF99" s="757"/>
      <c r="AG99" s="740"/>
      <c r="AH99" s="741"/>
      <c r="AI99" s="741"/>
      <c r="AJ99" s="757"/>
      <c r="AK99" s="740"/>
      <c r="AL99" s="741"/>
      <c r="AM99" s="741"/>
      <c r="AN99" s="757"/>
      <c r="AO99" s="466"/>
      <c r="AP99" s="467"/>
      <c r="AQ99" s="467"/>
      <c r="AR99" s="823"/>
    </row>
    <row r="100" spans="3:44" ht="18" customHeight="1">
      <c r="C100" s="758"/>
      <c r="D100" s="759"/>
      <c r="E100" s="760"/>
      <c r="F100" s="796"/>
      <c r="G100" s="797"/>
      <c r="H100" s="797"/>
      <c r="I100" s="797"/>
      <c r="J100" s="797"/>
      <c r="K100" s="797"/>
      <c r="L100" s="797"/>
      <c r="M100" s="797"/>
      <c r="N100" s="797"/>
      <c r="O100" s="797"/>
      <c r="P100" s="797"/>
      <c r="Q100" s="797"/>
      <c r="R100" s="797"/>
      <c r="S100" s="797"/>
      <c r="T100" s="797"/>
      <c r="U100" s="797"/>
      <c r="V100" s="797"/>
      <c r="W100" s="797"/>
      <c r="X100" s="797"/>
      <c r="Y100" s="797"/>
      <c r="Z100" s="797"/>
      <c r="AA100" s="797"/>
      <c r="AB100" s="798"/>
      <c r="AC100" s="740"/>
      <c r="AD100" s="741"/>
      <c r="AE100" s="741"/>
      <c r="AF100" s="757"/>
      <c r="AG100" s="740"/>
      <c r="AH100" s="741"/>
      <c r="AI100" s="741"/>
      <c r="AJ100" s="757"/>
      <c r="AK100" s="740"/>
      <c r="AL100" s="741"/>
      <c r="AM100" s="741"/>
      <c r="AN100" s="757"/>
      <c r="AO100" s="466"/>
      <c r="AP100" s="467"/>
      <c r="AQ100" s="467"/>
      <c r="AR100" s="823"/>
    </row>
    <row r="101" spans="3:44" ht="18" customHeight="1">
      <c r="C101" s="758"/>
      <c r="D101" s="759"/>
      <c r="E101" s="760"/>
      <c r="F101" s="796"/>
      <c r="G101" s="797"/>
      <c r="H101" s="797"/>
      <c r="I101" s="797"/>
      <c r="J101" s="797"/>
      <c r="K101" s="797"/>
      <c r="L101" s="797"/>
      <c r="M101" s="797"/>
      <c r="N101" s="797"/>
      <c r="O101" s="797"/>
      <c r="P101" s="797"/>
      <c r="Q101" s="797"/>
      <c r="R101" s="797"/>
      <c r="S101" s="797"/>
      <c r="T101" s="797"/>
      <c r="U101" s="797"/>
      <c r="V101" s="797"/>
      <c r="W101" s="797"/>
      <c r="X101" s="797"/>
      <c r="Y101" s="797"/>
      <c r="Z101" s="797"/>
      <c r="AA101" s="797"/>
      <c r="AB101" s="798"/>
      <c r="AC101" s="740"/>
      <c r="AD101" s="741"/>
      <c r="AE101" s="741"/>
      <c r="AF101" s="757"/>
      <c r="AG101" s="740"/>
      <c r="AH101" s="741"/>
      <c r="AI101" s="741"/>
      <c r="AJ101" s="757"/>
      <c r="AK101" s="740"/>
      <c r="AL101" s="741"/>
      <c r="AM101" s="741"/>
      <c r="AN101" s="757"/>
      <c r="AO101" s="466"/>
      <c r="AP101" s="467"/>
      <c r="AQ101" s="467"/>
      <c r="AR101" s="823"/>
    </row>
    <row r="102" spans="3:44" ht="18" customHeight="1">
      <c r="C102" s="814"/>
      <c r="D102" s="815"/>
      <c r="E102" s="815"/>
      <c r="F102" s="815"/>
      <c r="G102" s="815"/>
      <c r="H102" s="815"/>
      <c r="I102" s="815"/>
      <c r="J102" s="815"/>
      <c r="K102" s="815"/>
      <c r="L102" s="815"/>
      <c r="M102" s="815"/>
      <c r="N102" s="815"/>
      <c r="O102" s="815"/>
      <c r="P102" s="815"/>
      <c r="Q102" s="815"/>
      <c r="R102" s="815"/>
      <c r="S102" s="815"/>
      <c r="T102" s="815"/>
      <c r="U102" s="815"/>
      <c r="V102" s="815"/>
      <c r="W102" s="815"/>
      <c r="X102" s="815"/>
      <c r="Y102" s="816" t="s">
        <v>78</v>
      </c>
      <c r="Z102" s="816"/>
      <c r="AA102" s="816"/>
      <c r="AB102" s="816"/>
      <c r="AC102" s="816"/>
      <c r="AD102" s="816"/>
      <c r="AE102" s="816"/>
      <c r="AF102" s="483"/>
      <c r="AG102" s="817" t="s">
        <v>267</v>
      </c>
      <c r="AH102" s="818"/>
      <c r="AI102" s="818"/>
      <c r="AJ102" s="819"/>
      <c r="AK102" s="466">
        <f>SUM(AO94:AR101)</f>
        <v>45.97</v>
      </c>
      <c r="AL102" s="467"/>
      <c r="AM102" s="467"/>
      <c r="AN102" s="468"/>
      <c r="AO102" s="820">
        <f>ROUND(AG102*AK102,2)</f>
        <v>9.43</v>
      </c>
      <c r="AP102" s="821"/>
      <c r="AQ102" s="821"/>
      <c r="AR102" s="822"/>
    </row>
    <row r="103" spans="3:44" ht="18" customHeight="1">
      <c r="C103" s="743"/>
      <c r="D103" s="744"/>
      <c r="E103" s="744"/>
      <c r="F103" s="744"/>
      <c r="G103" s="744"/>
      <c r="H103" s="744"/>
      <c r="I103" s="744"/>
      <c r="J103" s="744"/>
      <c r="K103" s="744"/>
      <c r="L103" s="744"/>
      <c r="M103" s="744"/>
      <c r="N103" s="744"/>
      <c r="O103" s="744"/>
      <c r="P103" s="744"/>
      <c r="Q103" s="744"/>
      <c r="R103" s="744"/>
      <c r="S103" s="744"/>
      <c r="T103" s="744"/>
      <c r="U103" s="744"/>
      <c r="V103" s="744"/>
      <c r="W103" s="744"/>
      <c r="X103" s="744"/>
      <c r="Y103" s="745" t="s">
        <v>79</v>
      </c>
      <c r="Z103" s="745"/>
      <c r="AA103" s="745"/>
      <c r="AB103" s="745"/>
      <c r="AC103" s="745"/>
      <c r="AD103" s="745"/>
      <c r="AE103" s="745"/>
      <c r="AF103" s="745"/>
      <c r="AG103" s="745"/>
      <c r="AH103" s="745"/>
      <c r="AI103" s="745"/>
      <c r="AJ103" s="745"/>
      <c r="AK103" s="745"/>
      <c r="AL103" s="745"/>
      <c r="AM103" s="745"/>
      <c r="AN103" s="430"/>
      <c r="AO103" s="477">
        <f>SUM(AO94:AR102)</f>
        <v>55.4</v>
      </c>
      <c r="AP103" s="746"/>
      <c r="AQ103" s="746"/>
      <c r="AR103" s="747"/>
    </row>
    <row r="105" spans="3:44" ht="18" customHeight="1">
      <c r="C105" s="802"/>
      <c r="D105" s="803"/>
      <c r="E105" s="803"/>
      <c r="F105" s="803"/>
      <c r="G105" s="803"/>
      <c r="H105" s="803"/>
      <c r="I105" s="803"/>
      <c r="J105" s="803"/>
      <c r="K105" s="803"/>
      <c r="L105" s="803"/>
      <c r="M105" s="803"/>
      <c r="N105" s="803"/>
      <c r="O105" s="803"/>
      <c r="P105" s="803"/>
      <c r="Q105" s="803"/>
      <c r="R105" s="803"/>
      <c r="S105" s="803"/>
      <c r="T105" s="803"/>
      <c r="U105" s="803"/>
      <c r="V105" s="803"/>
      <c r="W105" s="803"/>
      <c r="X105" s="803"/>
      <c r="Y105" s="804" t="s">
        <v>80</v>
      </c>
      <c r="Z105" s="805"/>
      <c r="AA105" s="805"/>
      <c r="AB105" s="805"/>
      <c r="AC105" s="805"/>
      <c r="AD105" s="805"/>
      <c r="AE105" s="805"/>
      <c r="AF105" s="805"/>
      <c r="AG105" s="805"/>
      <c r="AH105" s="805"/>
      <c r="AI105" s="805"/>
      <c r="AJ105" s="805"/>
      <c r="AK105" s="805"/>
      <c r="AL105" s="805"/>
      <c r="AM105" s="805"/>
      <c r="AN105" s="806"/>
      <c r="AO105" s="807">
        <f>AO90+AO103</f>
        <v>55.4</v>
      </c>
      <c r="AP105" s="808"/>
      <c r="AQ105" s="808"/>
      <c r="AR105" s="809"/>
    </row>
    <row r="106" spans="3:44" ht="18" customHeight="1">
      <c r="C106" s="810" t="s">
        <v>81</v>
      </c>
      <c r="D106" s="745"/>
      <c r="E106" s="745"/>
      <c r="F106" s="745"/>
      <c r="G106" s="745"/>
      <c r="H106" s="745"/>
      <c r="I106" s="745"/>
      <c r="J106" s="745"/>
      <c r="K106" s="745"/>
      <c r="L106" s="745"/>
      <c r="M106" s="745"/>
      <c r="N106" s="745"/>
      <c r="O106" s="745"/>
      <c r="P106" s="430"/>
      <c r="Q106" s="477">
        <v>1</v>
      </c>
      <c r="R106" s="746"/>
      <c r="S106" s="746"/>
      <c r="T106" s="746"/>
      <c r="U106" s="746"/>
      <c r="V106" s="745" t="s">
        <v>194</v>
      </c>
      <c r="W106" s="745"/>
      <c r="X106" s="430"/>
      <c r="Y106" s="804" t="s">
        <v>82</v>
      </c>
      <c r="Z106" s="805"/>
      <c r="AA106" s="805"/>
      <c r="AB106" s="805"/>
      <c r="AC106" s="805"/>
      <c r="AD106" s="805"/>
      <c r="AE106" s="805"/>
      <c r="AF106" s="805"/>
      <c r="AG106" s="805"/>
      <c r="AH106" s="805"/>
      <c r="AI106" s="805"/>
      <c r="AJ106" s="805"/>
      <c r="AK106" s="805"/>
      <c r="AL106" s="805"/>
      <c r="AM106" s="805"/>
      <c r="AN106" s="806"/>
      <c r="AO106" s="811">
        <f>ROUND(AO105/Q106,2)</f>
        <v>55.4</v>
      </c>
      <c r="AP106" s="812"/>
      <c r="AQ106" s="812"/>
      <c r="AR106" s="813"/>
    </row>
    <row r="108" spans="3:44" ht="18" customHeight="1">
      <c r="C108" s="794" t="s">
        <v>43</v>
      </c>
      <c r="D108" s="774"/>
      <c r="E108" s="775"/>
      <c r="F108" s="773" t="s">
        <v>83</v>
      </c>
      <c r="G108" s="774"/>
      <c r="H108" s="774"/>
      <c r="I108" s="774"/>
      <c r="J108" s="774"/>
      <c r="K108" s="774"/>
      <c r="L108" s="774"/>
      <c r="M108" s="774"/>
      <c r="N108" s="774"/>
      <c r="O108" s="774"/>
      <c r="P108" s="774"/>
      <c r="Q108" s="774"/>
      <c r="R108" s="774"/>
      <c r="S108" s="774"/>
      <c r="T108" s="774"/>
      <c r="U108" s="774"/>
      <c r="V108" s="774"/>
      <c r="W108" s="774"/>
      <c r="X108" s="774"/>
      <c r="Y108" s="774"/>
      <c r="Z108" s="774"/>
      <c r="AA108" s="774"/>
      <c r="AB108" s="775"/>
      <c r="AC108" s="773" t="s">
        <v>84</v>
      </c>
      <c r="AD108" s="774"/>
      <c r="AE108" s="774"/>
      <c r="AF108" s="775"/>
      <c r="AG108" s="773" t="s">
        <v>85</v>
      </c>
      <c r="AH108" s="774"/>
      <c r="AI108" s="774"/>
      <c r="AJ108" s="775"/>
      <c r="AK108" s="773" t="s">
        <v>86</v>
      </c>
      <c r="AL108" s="774"/>
      <c r="AM108" s="774"/>
      <c r="AN108" s="775"/>
      <c r="AO108" s="773" t="s">
        <v>87</v>
      </c>
      <c r="AP108" s="774"/>
      <c r="AQ108" s="774"/>
      <c r="AR108" s="779"/>
    </row>
    <row r="109" spans="3:44" ht="18" customHeight="1">
      <c r="C109" s="795"/>
      <c r="D109" s="777"/>
      <c r="E109" s="778"/>
      <c r="F109" s="776"/>
      <c r="G109" s="777"/>
      <c r="H109" s="777"/>
      <c r="I109" s="777"/>
      <c r="J109" s="777"/>
      <c r="K109" s="777"/>
      <c r="L109" s="777"/>
      <c r="M109" s="777"/>
      <c r="N109" s="777"/>
      <c r="O109" s="777"/>
      <c r="P109" s="777"/>
      <c r="Q109" s="777"/>
      <c r="R109" s="777"/>
      <c r="S109" s="777"/>
      <c r="T109" s="777"/>
      <c r="U109" s="777"/>
      <c r="V109" s="777"/>
      <c r="W109" s="777"/>
      <c r="X109" s="777"/>
      <c r="Y109" s="777"/>
      <c r="Z109" s="777"/>
      <c r="AA109" s="777"/>
      <c r="AB109" s="778"/>
      <c r="AC109" s="776"/>
      <c r="AD109" s="777"/>
      <c r="AE109" s="777"/>
      <c r="AF109" s="778"/>
      <c r="AG109" s="776"/>
      <c r="AH109" s="777"/>
      <c r="AI109" s="777"/>
      <c r="AJ109" s="778"/>
      <c r="AK109" s="776"/>
      <c r="AL109" s="777"/>
      <c r="AM109" s="777"/>
      <c r="AN109" s="778"/>
      <c r="AO109" s="776"/>
      <c r="AP109" s="777"/>
      <c r="AQ109" s="777"/>
      <c r="AR109" s="780"/>
    </row>
    <row r="110" spans="3:44" ht="18" customHeight="1">
      <c r="C110" s="758" t="s">
        <v>857</v>
      </c>
      <c r="D110" s="759"/>
      <c r="E110" s="760"/>
      <c r="F110" s="796" t="s">
        <v>374</v>
      </c>
      <c r="G110" s="797"/>
      <c r="H110" s="797"/>
      <c r="I110" s="797"/>
      <c r="J110" s="797"/>
      <c r="K110" s="797"/>
      <c r="L110" s="797"/>
      <c r="M110" s="797"/>
      <c r="N110" s="797"/>
      <c r="O110" s="797"/>
      <c r="P110" s="797"/>
      <c r="Q110" s="797"/>
      <c r="R110" s="797"/>
      <c r="S110" s="797"/>
      <c r="T110" s="797"/>
      <c r="U110" s="797"/>
      <c r="V110" s="797"/>
      <c r="W110" s="797"/>
      <c r="X110" s="797"/>
      <c r="Y110" s="797"/>
      <c r="Z110" s="797"/>
      <c r="AA110" s="797"/>
      <c r="AB110" s="798"/>
      <c r="AC110" s="799" t="s">
        <v>245</v>
      </c>
      <c r="AD110" s="800"/>
      <c r="AE110" s="800"/>
      <c r="AF110" s="801"/>
      <c r="AG110" s="466">
        <f>TRUNC(301.73/1.2031,2)</f>
        <v>250.79</v>
      </c>
      <c r="AH110" s="467"/>
      <c r="AI110" s="467"/>
      <c r="AJ110" s="468"/>
      <c r="AK110" s="737">
        <v>4.7E-2</v>
      </c>
      <c r="AL110" s="738"/>
      <c r="AM110" s="738"/>
      <c r="AN110" s="739"/>
      <c r="AO110" s="740">
        <f>ROUND(AG110*AK110,2)</f>
        <v>11.79</v>
      </c>
      <c r="AP110" s="741"/>
      <c r="AQ110" s="741"/>
      <c r="AR110" s="742"/>
    </row>
    <row r="111" spans="3:44" ht="18" customHeight="1">
      <c r="C111" s="758" t="s">
        <v>1377</v>
      </c>
      <c r="D111" s="759"/>
      <c r="E111" s="760"/>
      <c r="F111" s="796" t="s">
        <v>417</v>
      </c>
      <c r="G111" s="797"/>
      <c r="H111" s="797"/>
      <c r="I111" s="797"/>
      <c r="J111" s="797"/>
      <c r="K111" s="797"/>
      <c r="L111" s="797"/>
      <c r="M111" s="797"/>
      <c r="N111" s="797"/>
      <c r="O111" s="797"/>
      <c r="P111" s="797"/>
      <c r="Q111" s="797"/>
      <c r="R111" s="797"/>
      <c r="S111" s="797"/>
      <c r="T111" s="797"/>
      <c r="U111" s="797"/>
      <c r="V111" s="797"/>
      <c r="W111" s="797"/>
      <c r="X111" s="797"/>
      <c r="Y111" s="797"/>
      <c r="Z111" s="797"/>
      <c r="AA111" s="797"/>
      <c r="AB111" s="798"/>
      <c r="AC111" s="799" t="s">
        <v>245</v>
      </c>
      <c r="AD111" s="800"/>
      <c r="AE111" s="800"/>
      <c r="AF111" s="801"/>
      <c r="AG111" s="466">
        <f>TRUNC(373.21/1.2031,2)</f>
        <v>310.2</v>
      </c>
      <c r="AH111" s="467"/>
      <c r="AI111" s="467"/>
      <c r="AJ111" s="468"/>
      <c r="AK111" s="737">
        <v>0.96699999999999997</v>
      </c>
      <c r="AL111" s="738"/>
      <c r="AM111" s="738"/>
      <c r="AN111" s="739"/>
      <c r="AO111" s="740">
        <f>ROUND(AG111*AK111,2)</f>
        <v>299.95999999999998</v>
      </c>
      <c r="AP111" s="741"/>
      <c r="AQ111" s="741"/>
      <c r="AR111" s="742"/>
    </row>
    <row r="112" spans="3:44" ht="18" customHeight="1">
      <c r="C112" s="758" t="s">
        <v>1376</v>
      </c>
      <c r="D112" s="759"/>
      <c r="E112" s="760"/>
      <c r="F112" s="796" t="s">
        <v>370</v>
      </c>
      <c r="G112" s="797"/>
      <c r="H112" s="797"/>
      <c r="I112" s="797"/>
      <c r="J112" s="797"/>
      <c r="K112" s="797"/>
      <c r="L112" s="797"/>
      <c r="M112" s="797"/>
      <c r="N112" s="797"/>
      <c r="O112" s="797"/>
      <c r="P112" s="797"/>
      <c r="Q112" s="797"/>
      <c r="R112" s="797"/>
      <c r="S112" s="797"/>
      <c r="T112" s="797"/>
      <c r="U112" s="797"/>
      <c r="V112" s="797"/>
      <c r="W112" s="797"/>
      <c r="X112" s="797"/>
      <c r="Y112" s="797"/>
      <c r="Z112" s="797"/>
      <c r="AA112" s="797"/>
      <c r="AB112" s="798"/>
      <c r="AC112" s="799" t="s">
        <v>309</v>
      </c>
      <c r="AD112" s="800"/>
      <c r="AE112" s="800"/>
      <c r="AF112" s="801"/>
      <c r="AG112" s="466">
        <f>TRUNC(43.8/1.2031,2)</f>
        <v>36.4</v>
      </c>
      <c r="AH112" s="467"/>
      <c r="AI112" s="467"/>
      <c r="AJ112" s="468"/>
      <c r="AK112" s="737">
        <v>9.0399999999999991</v>
      </c>
      <c r="AL112" s="738"/>
      <c r="AM112" s="738"/>
      <c r="AN112" s="739"/>
      <c r="AO112" s="740">
        <f>ROUND(AG112*AK112,2)</f>
        <v>329.06</v>
      </c>
      <c r="AP112" s="741"/>
      <c r="AQ112" s="741"/>
      <c r="AR112" s="742"/>
    </row>
    <row r="113" spans="3:44" ht="18" customHeight="1">
      <c r="C113" s="758" t="s">
        <v>860</v>
      </c>
      <c r="D113" s="759"/>
      <c r="E113" s="760"/>
      <c r="F113" s="796" t="s">
        <v>418</v>
      </c>
      <c r="G113" s="797"/>
      <c r="H113" s="797"/>
      <c r="I113" s="797"/>
      <c r="J113" s="797"/>
      <c r="K113" s="797"/>
      <c r="L113" s="797"/>
      <c r="M113" s="797"/>
      <c r="N113" s="797"/>
      <c r="O113" s="797"/>
      <c r="P113" s="797"/>
      <c r="Q113" s="797"/>
      <c r="R113" s="797"/>
      <c r="S113" s="797"/>
      <c r="T113" s="797"/>
      <c r="U113" s="797"/>
      <c r="V113" s="797"/>
      <c r="W113" s="797"/>
      <c r="X113" s="797"/>
      <c r="Y113" s="797"/>
      <c r="Z113" s="797"/>
      <c r="AA113" s="797"/>
      <c r="AB113" s="798"/>
      <c r="AC113" s="799" t="s">
        <v>194</v>
      </c>
      <c r="AD113" s="800"/>
      <c r="AE113" s="800"/>
      <c r="AF113" s="801"/>
      <c r="AG113" s="466">
        <f>TRUNC(175.93/1.2031,2)</f>
        <v>146.22999999999999</v>
      </c>
      <c r="AH113" s="467"/>
      <c r="AI113" s="467"/>
      <c r="AJ113" s="468"/>
      <c r="AK113" s="737">
        <v>1</v>
      </c>
      <c r="AL113" s="738"/>
      <c r="AM113" s="738"/>
      <c r="AN113" s="739"/>
      <c r="AO113" s="740">
        <f>ROUND(AG113*AK113,2)</f>
        <v>146.22999999999999</v>
      </c>
      <c r="AP113" s="741"/>
      <c r="AQ113" s="741"/>
      <c r="AR113" s="742"/>
    </row>
    <row r="114" spans="3:44" ht="18" customHeight="1">
      <c r="C114" s="758"/>
      <c r="D114" s="759"/>
      <c r="E114" s="760"/>
      <c r="F114" s="796"/>
      <c r="G114" s="797"/>
      <c r="H114" s="797"/>
      <c r="I114" s="797"/>
      <c r="J114" s="797"/>
      <c r="K114" s="797"/>
      <c r="L114" s="797"/>
      <c r="M114" s="797"/>
      <c r="N114" s="797"/>
      <c r="O114" s="797"/>
      <c r="P114" s="797"/>
      <c r="Q114" s="797"/>
      <c r="R114" s="797"/>
      <c r="S114" s="797"/>
      <c r="T114" s="797"/>
      <c r="U114" s="797"/>
      <c r="V114" s="797"/>
      <c r="W114" s="797"/>
      <c r="X114" s="797"/>
      <c r="Y114" s="797"/>
      <c r="Z114" s="797"/>
      <c r="AA114" s="797"/>
      <c r="AB114" s="798"/>
      <c r="AC114" s="799"/>
      <c r="AD114" s="800"/>
      <c r="AE114" s="800"/>
      <c r="AF114" s="801"/>
      <c r="AG114" s="466"/>
      <c r="AH114" s="467"/>
      <c r="AI114" s="467"/>
      <c r="AJ114" s="468"/>
      <c r="AK114" s="737"/>
      <c r="AL114" s="738"/>
      <c r="AM114" s="738"/>
      <c r="AN114" s="739"/>
      <c r="AO114" s="740"/>
      <c r="AP114" s="741"/>
      <c r="AQ114" s="741"/>
      <c r="AR114" s="742"/>
    </row>
    <row r="115" spans="3:44" ht="18" customHeight="1">
      <c r="C115" s="758"/>
      <c r="D115" s="759"/>
      <c r="E115" s="760"/>
      <c r="F115" s="796"/>
      <c r="G115" s="797"/>
      <c r="H115" s="797"/>
      <c r="I115" s="797"/>
      <c r="J115" s="797"/>
      <c r="K115" s="797"/>
      <c r="L115" s="797"/>
      <c r="M115" s="797"/>
      <c r="N115" s="797"/>
      <c r="O115" s="797"/>
      <c r="P115" s="797"/>
      <c r="Q115" s="797"/>
      <c r="R115" s="797"/>
      <c r="S115" s="797"/>
      <c r="T115" s="797"/>
      <c r="U115" s="797"/>
      <c r="V115" s="797"/>
      <c r="W115" s="797"/>
      <c r="X115" s="797"/>
      <c r="Y115" s="797"/>
      <c r="Z115" s="797"/>
      <c r="AA115" s="797"/>
      <c r="AB115" s="798"/>
      <c r="AC115" s="799"/>
      <c r="AD115" s="800"/>
      <c r="AE115" s="800"/>
      <c r="AF115" s="801"/>
      <c r="AG115" s="466"/>
      <c r="AH115" s="467"/>
      <c r="AI115" s="467"/>
      <c r="AJ115" s="468"/>
      <c r="AK115" s="737"/>
      <c r="AL115" s="738"/>
      <c r="AM115" s="738"/>
      <c r="AN115" s="739"/>
      <c r="AO115" s="740"/>
      <c r="AP115" s="741"/>
      <c r="AQ115" s="741"/>
      <c r="AR115" s="742"/>
    </row>
    <row r="116" spans="3:44" ht="18" customHeight="1">
      <c r="C116" s="758"/>
      <c r="D116" s="759"/>
      <c r="E116" s="760"/>
      <c r="F116" s="796"/>
      <c r="G116" s="797"/>
      <c r="H116" s="797"/>
      <c r="I116" s="797"/>
      <c r="J116" s="797"/>
      <c r="K116" s="797"/>
      <c r="L116" s="797"/>
      <c r="M116" s="797"/>
      <c r="N116" s="797"/>
      <c r="O116" s="797"/>
      <c r="P116" s="797"/>
      <c r="Q116" s="797"/>
      <c r="R116" s="797"/>
      <c r="S116" s="797"/>
      <c r="T116" s="797"/>
      <c r="U116" s="797"/>
      <c r="V116" s="797"/>
      <c r="W116" s="797"/>
      <c r="X116" s="797"/>
      <c r="Y116" s="797"/>
      <c r="Z116" s="797"/>
      <c r="AA116" s="797"/>
      <c r="AB116" s="798"/>
      <c r="AC116" s="799"/>
      <c r="AD116" s="800"/>
      <c r="AE116" s="800"/>
      <c r="AF116" s="801"/>
      <c r="AG116" s="466"/>
      <c r="AH116" s="467"/>
      <c r="AI116" s="467"/>
      <c r="AJ116" s="468"/>
      <c r="AK116" s="737"/>
      <c r="AL116" s="738"/>
      <c r="AM116" s="738"/>
      <c r="AN116" s="739"/>
      <c r="AO116" s="740"/>
      <c r="AP116" s="741"/>
      <c r="AQ116" s="741"/>
      <c r="AR116" s="742"/>
    </row>
    <row r="117" spans="3:44" ht="18" customHeight="1">
      <c r="C117" s="758"/>
      <c r="D117" s="759"/>
      <c r="E117" s="760"/>
      <c r="F117" s="796"/>
      <c r="G117" s="797"/>
      <c r="H117" s="797"/>
      <c r="I117" s="797"/>
      <c r="J117" s="797"/>
      <c r="K117" s="797"/>
      <c r="L117" s="797"/>
      <c r="M117" s="797"/>
      <c r="N117" s="797"/>
      <c r="O117" s="797"/>
      <c r="P117" s="797"/>
      <c r="Q117" s="797"/>
      <c r="R117" s="797"/>
      <c r="S117" s="797"/>
      <c r="T117" s="797"/>
      <c r="U117" s="797"/>
      <c r="V117" s="797"/>
      <c r="W117" s="797"/>
      <c r="X117" s="797"/>
      <c r="Y117" s="797"/>
      <c r="Z117" s="797"/>
      <c r="AA117" s="797"/>
      <c r="AB117" s="798"/>
      <c r="AC117" s="799"/>
      <c r="AD117" s="800"/>
      <c r="AE117" s="800"/>
      <c r="AF117" s="801"/>
      <c r="AG117" s="466"/>
      <c r="AH117" s="467"/>
      <c r="AI117" s="467"/>
      <c r="AJ117" s="468"/>
      <c r="AK117" s="737"/>
      <c r="AL117" s="738"/>
      <c r="AM117" s="738"/>
      <c r="AN117" s="739"/>
      <c r="AO117" s="740"/>
      <c r="AP117" s="741"/>
      <c r="AQ117" s="741"/>
      <c r="AR117" s="742"/>
    </row>
    <row r="118" spans="3:44" ht="18" customHeight="1">
      <c r="C118" s="743"/>
      <c r="D118" s="744"/>
      <c r="E118" s="744"/>
      <c r="F118" s="744"/>
      <c r="G118" s="744"/>
      <c r="H118" s="744"/>
      <c r="I118" s="744"/>
      <c r="J118" s="744"/>
      <c r="K118" s="744"/>
      <c r="L118" s="744"/>
      <c r="M118" s="744"/>
      <c r="N118" s="744"/>
      <c r="O118" s="744"/>
      <c r="P118" s="744"/>
      <c r="Q118" s="744"/>
      <c r="R118" s="744"/>
      <c r="S118" s="744"/>
      <c r="T118" s="744"/>
      <c r="U118" s="744"/>
      <c r="V118" s="744"/>
      <c r="W118" s="744"/>
      <c r="X118" s="744"/>
      <c r="Y118" s="745" t="s">
        <v>88</v>
      </c>
      <c r="Z118" s="745"/>
      <c r="AA118" s="745"/>
      <c r="AB118" s="745"/>
      <c r="AC118" s="745"/>
      <c r="AD118" s="745"/>
      <c r="AE118" s="745"/>
      <c r="AF118" s="745"/>
      <c r="AG118" s="745"/>
      <c r="AH118" s="745"/>
      <c r="AI118" s="745"/>
      <c r="AJ118" s="745"/>
      <c r="AK118" s="745"/>
      <c r="AL118" s="745"/>
      <c r="AM118" s="745"/>
      <c r="AN118" s="430"/>
      <c r="AO118" s="477">
        <f>SUM(AO110:AR117)</f>
        <v>787.04</v>
      </c>
      <c r="AP118" s="746"/>
      <c r="AQ118" s="746"/>
      <c r="AR118" s="747"/>
    </row>
    <row r="120" spans="3:44" ht="18" customHeight="1">
      <c r="C120" s="794" t="s">
        <v>43</v>
      </c>
      <c r="D120" s="774"/>
      <c r="E120" s="775"/>
      <c r="F120" s="773" t="s">
        <v>89</v>
      </c>
      <c r="G120" s="774"/>
      <c r="H120" s="774"/>
      <c r="I120" s="774"/>
      <c r="J120" s="774"/>
      <c r="K120" s="774"/>
      <c r="L120" s="774"/>
      <c r="M120" s="774"/>
      <c r="N120" s="774"/>
      <c r="O120" s="774"/>
      <c r="P120" s="774"/>
      <c r="Q120" s="774"/>
      <c r="R120" s="775"/>
      <c r="S120" s="773" t="s">
        <v>90</v>
      </c>
      <c r="T120" s="774"/>
      <c r="U120" s="775"/>
      <c r="V120" s="773" t="s">
        <v>91</v>
      </c>
      <c r="W120" s="774"/>
      <c r="X120" s="775"/>
      <c r="Y120" s="773" t="s">
        <v>92</v>
      </c>
      <c r="Z120" s="774"/>
      <c r="AA120" s="774"/>
      <c r="AB120" s="774"/>
      <c r="AC120" s="774"/>
      <c r="AD120" s="775"/>
      <c r="AE120" s="773" t="s">
        <v>93</v>
      </c>
      <c r="AF120" s="774"/>
      <c r="AG120" s="775"/>
      <c r="AH120" s="773" t="s">
        <v>94</v>
      </c>
      <c r="AI120" s="774"/>
      <c r="AJ120" s="775"/>
      <c r="AK120" s="773" t="s">
        <v>86</v>
      </c>
      <c r="AL120" s="774"/>
      <c r="AM120" s="774"/>
      <c r="AN120" s="775"/>
      <c r="AO120" s="773" t="s">
        <v>87</v>
      </c>
      <c r="AP120" s="774"/>
      <c r="AQ120" s="774"/>
      <c r="AR120" s="779"/>
    </row>
    <row r="121" spans="3:44" ht="18" customHeight="1">
      <c r="C121" s="795"/>
      <c r="D121" s="777"/>
      <c r="E121" s="778"/>
      <c r="F121" s="776"/>
      <c r="G121" s="777"/>
      <c r="H121" s="777"/>
      <c r="I121" s="777"/>
      <c r="J121" s="777"/>
      <c r="K121" s="777"/>
      <c r="L121" s="777"/>
      <c r="M121" s="777"/>
      <c r="N121" s="777"/>
      <c r="O121" s="777"/>
      <c r="P121" s="777"/>
      <c r="Q121" s="777"/>
      <c r="R121" s="778"/>
      <c r="S121" s="776"/>
      <c r="T121" s="777"/>
      <c r="U121" s="778"/>
      <c r="V121" s="776"/>
      <c r="W121" s="777"/>
      <c r="X121" s="778"/>
      <c r="Y121" s="776"/>
      <c r="Z121" s="777"/>
      <c r="AA121" s="777"/>
      <c r="AB121" s="777"/>
      <c r="AC121" s="777"/>
      <c r="AD121" s="778"/>
      <c r="AE121" s="776"/>
      <c r="AF121" s="777"/>
      <c r="AG121" s="778"/>
      <c r="AH121" s="776"/>
      <c r="AI121" s="777"/>
      <c r="AJ121" s="778"/>
      <c r="AK121" s="776"/>
      <c r="AL121" s="777"/>
      <c r="AM121" s="777"/>
      <c r="AN121" s="778"/>
      <c r="AO121" s="776"/>
      <c r="AP121" s="777"/>
      <c r="AQ121" s="777"/>
      <c r="AR121" s="780"/>
    </row>
    <row r="122" spans="3:44" ht="18" customHeight="1">
      <c r="C122" s="781"/>
      <c r="D122" s="782"/>
      <c r="E122" s="783"/>
      <c r="F122" s="457"/>
      <c r="G122" s="457"/>
      <c r="H122" s="457"/>
      <c r="I122" s="457"/>
      <c r="J122" s="457"/>
      <c r="K122" s="457"/>
      <c r="L122" s="457"/>
      <c r="M122" s="457"/>
      <c r="N122" s="457"/>
      <c r="O122" s="457"/>
      <c r="P122" s="457"/>
      <c r="Q122" s="457"/>
      <c r="R122" s="457"/>
      <c r="S122" s="784"/>
      <c r="T122" s="785"/>
      <c r="U122" s="786"/>
      <c r="V122" s="784"/>
      <c r="W122" s="785"/>
      <c r="X122" s="786"/>
      <c r="Y122" s="787"/>
      <c r="Z122" s="788"/>
      <c r="AA122" s="788"/>
      <c r="AB122" s="788"/>
      <c r="AC122" s="788"/>
      <c r="AD122" s="789"/>
      <c r="AE122" s="449"/>
      <c r="AF122" s="449"/>
      <c r="AG122" s="449"/>
      <c r="AH122" s="770"/>
      <c r="AI122" s="771"/>
      <c r="AJ122" s="790"/>
      <c r="AK122" s="791"/>
      <c r="AL122" s="792"/>
      <c r="AM122" s="792"/>
      <c r="AN122" s="793"/>
      <c r="AO122" s="770"/>
      <c r="AP122" s="771"/>
      <c r="AQ122" s="771"/>
      <c r="AR122" s="772"/>
    </row>
    <row r="123" spans="3:44" ht="18" customHeight="1">
      <c r="C123" s="758"/>
      <c r="D123" s="759"/>
      <c r="E123" s="760"/>
      <c r="F123" s="761"/>
      <c r="G123" s="762"/>
      <c r="H123" s="762"/>
      <c r="I123" s="762"/>
      <c r="J123" s="762"/>
      <c r="K123" s="762"/>
      <c r="L123" s="762"/>
      <c r="M123" s="762"/>
      <c r="N123" s="762"/>
      <c r="O123" s="762"/>
      <c r="P123" s="762"/>
      <c r="Q123" s="762"/>
      <c r="R123" s="763"/>
      <c r="S123" s="764"/>
      <c r="T123" s="765"/>
      <c r="U123" s="766"/>
      <c r="V123" s="764"/>
      <c r="W123" s="765"/>
      <c r="X123" s="766"/>
      <c r="Y123" s="767"/>
      <c r="Z123" s="768"/>
      <c r="AA123" s="768"/>
      <c r="AB123" s="768"/>
      <c r="AC123" s="768"/>
      <c r="AD123" s="769"/>
      <c r="AE123" s="740"/>
      <c r="AF123" s="741"/>
      <c r="AG123" s="757"/>
      <c r="AH123" s="740"/>
      <c r="AI123" s="741"/>
      <c r="AJ123" s="757"/>
      <c r="AK123" s="737"/>
      <c r="AL123" s="738"/>
      <c r="AM123" s="738"/>
      <c r="AN123" s="739"/>
      <c r="AO123" s="740">
        <f t="shared" ref="AO123:AO129" si="2">ROUND(AE123*AH123*AK123,2)</f>
        <v>0</v>
      </c>
      <c r="AP123" s="741"/>
      <c r="AQ123" s="741"/>
      <c r="AR123" s="742"/>
    </row>
    <row r="124" spans="3:44" ht="18" customHeight="1">
      <c r="C124" s="758"/>
      <c r="D124" s="759"/>
      <c r="E124" s="760"/>
      <c r="F124" s="761"/>
      <c r="G124" s="762"/>
      <c r="H124" s="762"/>
      <c r="I124" s="762"/>
      <c r="J124" s="762"/>
      <c r="K124" s="762"/>
      <c r="L124" s="762"/>
      <c r="M124" s="762"/>
      <c r="N124" s="762"/>
      <c r="O124" s="762"/>
      <c r="P124" s="762"/>
      <c r="Q124" s="762"/>
      <c r="R124" s="763"/>
      <c r="S124" s="764"/>
      <c r="T124" s="765"/>
      <c r="U124" s="766"/>
      <c r="V124" s="764"/>
      <c r="W124" s="765"/>
      <c r="X124" s="766"/>
      <c r="Y124" s="767"/>
      <c r="Z124" s="768"/>
      <c r="AA124" s="768"/>
      <c r="AB124" s="768"/>
      <c r="AC124" s="768"/>
      <c r="AD124" s="769"/>
      <c r="AE124" s="740"/>
      <c r="AF124" s="741"/>
      <c r="AG124" s="757"/>
      <c r="AH124" s="740"/>
      <c r="AI124" s="741"/>
      <c r="AJ124" s="757"/>
      <c r="AK124" s="737"/>
      <c r="AL124" s="738"/>
      <c r="AM124" s="738"/>
      <c r="AN124" s="739"/>
      <c r="AO124" s="740">
        <f t="shared" si="2"/>
        <v>0</v>
      </c>
      <c r="AP124" s="741"/>
      <c r="AQ124" s="741"/>
      <c r="AR124" s="742"/>
    </row>
    <row r="125" spans="3:44" ht="18" customHeight="1">
      <c r="C125" s="758"/>
      <c r="D125" s="759"/>
      <c r="E125" s="760"/>
      <c r="F125" s="761"/>
      <c r="G125" s="762"/>
      <c r="H125" s="762"/>
      <c r="I125" s="762"/>
      <c r="J125" s="762"/>
      <c r="K125" s="762"/>
      <c r="L125" s="762"/>
      <c r="M125" s="762"/>
      <c r="N125" s="762"/>
      <c r="O125" s="762"/>
      <c r="P125" s="762"/>
      <c r="Q125" s="762"/>
      <c r="R125" s="763"/>
      <c r="S125" s="764"/>
      <c r="T125" s="765"/>
      <c r="U125" s="766"/>
      <c r="V125" s="764"/>
      <c r="W125" s="765"/>
      <c r="X125" s="766"/>
      <c r="Y125" s="767"/>
      <c r="Z125" s="768"/>
      <c r="AA125" s="768"/>
      <c r="AB125" s="768"/>
      <c r="AC125" s="768"/>
      <c r="AD125" s="769"/>
      <c r="AE125" s="740"/>
      <c r="AF125" s="741"/>
      <c r="AG125" s="757"/>
      <c r="AH125" s="740"/>
      <c r="AI125" s="741"/>
      <c r="AJ125" s="757"/>
      <c r="AK125" s="737"/>
      <c r="AL125" s="738"/>
      <c r="AM125" s="738"/>
      <c r="AN125" s="739"/>
      <c r="AO125" s="740">
        <f t="shared" si="2"/>
        <v>0</v>
      </c>
      <c r="AP125" s="741"/>
      <c r="AQ125" s="741"/>
      <c r="AR125" s="742"/>
    </row>
    <row r="126" spans="3:44" ht="18" customHeight="1">
      <c r="C126" s="758"/>
      <c r="D126" s="759"/>
      <c r="E126" s="760"/>
      <c r="F126" s="761"/>
      <c r="G126" s="762"/>
      <c r="H126" s="762"/>
      <c r="I126" s="762"/>
      <c r="J126" s="762"/>
      <c r="K126" s="762"/>
      <c r="L126" s="762"/>
      <c r="M126" s="762"/>
      <c r="N126" s="762"/>
      <c r="O126" s="762"/>
      <c r="P126" s="762"/>
      <c r="Q126" s="762"/>
      <c r="R126" s="763"/>
      <c r="S126" s="764"/>
      <c r="T126" s="765"/>
      <c r="U126" s="766"/>
      <c r="V126" s="764"/>
      <c r="W126" s="765"/>
      <c r="X126" s="766"/>
      <c r="Y126" s="767"/>
      <c r="Z126" s="768"/>
      <c r="AA126" s="768"/>
      <c r="AB126" s="768"/>
      <c r="AC126" s="768"/>
      <c r="AD126" s="769"/>
      <c r="AE126" s="740"/>
      <c r="AF126" s="741"/>
      <c r="AG126" s="757"/>
      <c r="AH126" s="740"/>
      <c r="AI126" s="741"/>
      <c r="AJ126" s="757"/>
      <c r="AK126" s="737"/>
      <c r="AL126" s="738"/>
      <c r="AM126" s="738"/>
      <c r="AN126" s="739"/>
      <c r="AO126" s="740">
        <f t="shared" si="2"/>
        <v>0</v>
      </c>
      <c r="AP126" s="741"/>
      <c r="AQ126" s="741"/>
      <c r="AR126" s="742"/>
    </row>
    <row r="127" spans="3:44" ht="18" customHeight="1">
      <c r="C127" s="758"/>
      <c r="D127" s="759"/>
      <c r="E127" s="760"/>
      <c r="F127" s="761"/>
      <c r="G127" s="762"/>
      <c r="H127" s="762"/>
      <c r="I127" s="762"/>
      <c r="J127" s="762"/>
      <c r="K127" s="762"/>
      <c r="L127" s="762"/>
      <c r="M127" s="762"/>
      <c r="N127" s="762"/>
      <c r="O127" s="762"/>
      <c r="P127" s="762"/>
      <c r="Q127" s="762"/>
      <c r="R127" s="763"/>
      <c r="S127" s="764"/>
      <c r="T127" s="765"/>
      <c r="U127" s="766"/>
      <c r="V127" s="764"/>
      <c r="W127" s="765"/>
      <c r="X127" s="766"/>
      <c r="Y127" s="767"/>
      <c r="Z127" s="768"/>
      <c r="AA127" s="768"/>
      <c r="AB127" s="768"/>
      <c r="AC127" s="768"/>
      <c r="AD127" s="769"/>
      <c r="AE127" s="740"/>
      <c r="AF127" s="741"/>
      <c r="AG127" s="757"/>
      <c r="AH127" s="740"/>
      <c r="AI127" s="741"/>
      <c r="AJ127" s="757"/>
      <c r="AK127" s="737"/>
      <c r="AL127" s="738"/>
      <c r="AM127" s="738"/>
      <c r="AN127" s="739"/>
      <c r="AO127" s="740">
        <f t="shared" si="2"/>
        <v>0</v>
      </c>
      <c r="AP127" s="741"/>
      <c r="AQ127" s="741"/>
      <c r="AR127" s="742"/>
    </row>
    <row r="128" spans="3:44" ht="18" customHeight="1">
      <c r="C128" s="758"/>
      <c r="D128" s="759"/>
      <c r="E128" s="760"/>
      <c r="F128" s="761"/>
      <c r="G128" s="762"/>
      <c r="H128" s="762"/>
      <c r="I128" s="762"/>
      <c r="J128" s="762"/>
      <c r="K128" s="762"/>
      <c r="L128" s="762"/>
      <c r="M128" s="762"/>
      <c r="N128" s="762"/>
      <c r="O128" s="762"/>
      <c r="P128" s="762"/>
      <c r="Q128" s="762"/>
      <c r="R128" s="763"/>
      <c r="S128" s="764"/>
      <c r="T128" s="765"/>
      <c r="U128" s="766"/>
      <c r="V128" s="764"/>
      <c r="W128" s="765"/>
      <c r="X128" s="766"/>
      <c r="Y128" s="767"/>
      <c r="Z128" s="768"/>
      <c r="AA128" s="768"/>
      <c r="AB128" s="768"/>
      <c r="AC128" s="768"/>
      <c r="AD128" s="769"/>
      <c r="AE128" s="740"/>
      <c r="AF128" s="741"/>
      <c r="AG128" s="757"/>
      <c r="AH128" s="740"/>
      <c r="AI128" s="741"/>
      <c r="AJ128" s="757"/>
      <c r="AK128" s="737"/>
      <c r="AL128" s="738"/>
      <c r="AM128" s="738"/>
      <c r="AN128" s="739"/>
      <c r="AO128" s="740">
        <f t="shared" si="2"/>
        <v>0</v>
      </c>
      <c r="AP128" s="741"/>
      <c r="AQ128" s="741"/>
      <c r="AR128" s="742"/>
    </row>
    <row r="129" spans="1:44" ht="18" customHeight="1">
      <c r="C129" s="758"/>
      <c r="D129" s="759"/>
      <c r="E129" s="760"/>
      <c r="F129" s="761"/>
      <c r="G129" s="762"/>
      <c r="H129" s="762"/>
      <c r="I129" s="762"/>
      <c r="J129" s="762"/>
      <c r="K129" s="762"/>
      <c r="L129" s="762"/>
      <c r="M129" s="762"/>
      <c r="N129" s="762"/>
      <c r="O129" s="762"/>
      <c r="P129" s="762"/>
      <c r="Q129" s="762"/>
      <c r="R129" s="763"/>
      <c r="S129" s="764"/>
      <c r="T129" s="765"/>
      <c r="U129" s="766"/>
      <c r="V129" s="764"/>
      <c r="W129" s="765"/>
      <c r="X129" s="766"/>
      <c r="Y129" s="767"/>
      <c r="Z129" s="768"/>
      <c r="AA129" s="768"/>
      <c r="AB129" s="768"/>
      <c r="AC129" s="768"/>
      <c r="AD129" s="769"/>
      <c r="AE129" s="740"/>
      <c r="AF129" s="741"/>
      <c r="AG129" s="757"/>
      <c r="AH129" s="740"/>
      <c r="AI129" s="741"/>
      <c r="AJ129" s="757"/>
      <c r="AK129" s="737"/>
      <c r="AL129" s="738"/>
      <c r="AM129" s="738"/>
      <c r="AN129" s="739"/>
      <c r="AO129" s="740">
        <f t="shared" si="2"/>
        <v>0</v>
      </c>
      <c r="AP129" s="741"/>
      <c r="AQ129" s="741"/>
      <c r="AR129" s="742"/>
    </row>
    <row r="130" spans="1:44" ht="18" customHeight="1">
      <c r="C130" s="743"/>
      <c r="D130" s="744"/>
      <c r="E130" s="744"/>
      <c r="F130" s="744"/>
      <c r="G130" s="744"/>
      <c r="H130" s="744"/>
      <c r="I130" s="744"/>
      <c r="J130" s="744"/>
      <c r="K130" s="744"/>
      <c r="L130" s="744"/>
      <c r="M130" s="744"/>
      <c r="N130" s="744"/>
      <c r="O130" s="744"/>
      <c r="P130" s="744"/>
      <c r="Q130" s="744"/>
      <c r="R130" s="744"/>
      <c r="S130" s="744"/>
      <c r="T130" s="744"/>
      <c r="U130" s="744"/>
      <c r="V130" s="744"/>
      <c r="W130" s="744"/>
      <c r="X130" s="744"/>
      <c r="Y130" s="745" t="s">
        <v>95</v>
      </c>
      <c r="Z130" s="745"/>
      <c r="AA130" s="745"/>
      <c r="AB130" s="745"/>
      <c r="AC130" s="745"/>
      <c r="AD130" s="745"/>
      <c r="AE130" s="745"/>
      <c r="AF130" s="745"/>
      <c r="AG130" s="745"/>
      <c r="AH130" s="745"/>
      <c r="AI130" s="745"/>
      <c r="AJ130" s="745"/>
      <c r="AK130" s="745"/>
      <c r="AL130" s="745"/>
      <c r="AM130" s="745"/>
      <c r="AN130" s="430"/>
      <c r="AO130" s="477">
        <f>SUM(AO122:AR129)</f>
        <v>0</v>
      </c>
      <c r="AP130" s="746"/>
      <c r="AQ130" s="746"/>
      <c r="AR130" s="747"/>
    </row>
    <row r="132" spans="1:44" ht="18" customHeight="1">
      <c r="C132" s="434"/>
      <c r="D132" s="434"/>
      <c r="E132" s="434"/>
      <c r="F132" s="434"/>
      <c r="G132" s="434"/>
      <c r="H132" s="434"/>
      <c r="I132" s="434"/>
      <c r="J132" s="434"/>
      <c r="K132" s="434"/>
      <c r="L132" s="434"/>
      <c r="M132" s="434"/>
      <c r="N132" s="434"/>
      <c r="O132" s="434"/>
      <c r="P132" s="434"/>
      <c r="Q132" s="434"/>
      <c r="R132" s="434"/>
      <c r="S132" s="434"/>
      <c r="T132" s="434"/>
      <c r="U132" s="434"/>
      <c r="V132" s="434"/>
      <c r="W132" s="434"/>
      <c r="X132" s="748"/>
      <c r="Y132" s="749" t="s">
        <v>96</v>
      </c>
      <c r="Z132" s="750"/>
      <c r="AA132" s="750"/>
      <c r="AB132" s="750"/>
      <c r="AC132" s="750"/>
      <c r="AD132" s="750"/>
      <c r="AE132" s="750"/>
      <c r="AF132" s="750"/>
      <c r="AG132" s="750"/>
      <c r="AH132" s="750"/>
      <c r="AI132" s="750"/>
      <c r="AJ132" s="750"/>
      <c r="AK132" s="750"/>
      <c r="AL132" s="750"/>
      <c r="AM132" s="750"/>
      <c r="AN132" s="751"/>
      <c r="AO132" s="752">
        <f>AO106+AO118+AO130</f>
        <v>842.43999999999994</v>
      </c>
      <c r="AP132" s="753"/>
      <c r="AQ132" s="753"/>
      <c r="AR132" s="754"/>
    </row>
    <row r="133" spans="1:44" ht="18" customHeight="1">
      <c r="C133" s="434"/>
      <c r="D133" s="434"/>
      <c r="E133" s="434"/>
      <c r="F133" s="434"/>
      <c r="G133" s="434"/>
      <c r="H133" s="434"/>
      <c r="I133" s="434"/>
      <c r="J133" s="434"/>
      <c r="K133" s="434"/>
      <c r="L133" s="434"/>
      <c r="M133" s="434"/>
      <c r="N133" s="434"/>
      <c r="O133" s="434"/>
      <c r="P133" s="434"/>
      <c r="Q133" s="434"/>
      <c r="R133" s="434"/>
      <c r="S133" s="434"/>
      <c r="T133" s="434"/>
      <c r="U133" s="434"/>
      <c r="V133" s="434"/>
      <c r="W133" s="434"/>
      <c r="X133" s="748"/>
      <c r="Y133" s="755" t="s">
        <v>97</v>
      </c>
      <c r="Z133" s="756"/>
      <c r="AA133" s="756"/>
      <c r="AB133" s="756"/>
      <c r="AC133" s="756"/>
      <c r="AD133" s="756"/>
      <c r="AE133" s="756"/>
      <c r="AF133" s="756"/>
      <c r="AG133" s="756"/>
      <c r="AH133" s="442">
        <v>0.2031</v>
      </c>
      <c r="AI133" s="442"/>
      <c r="AJ133" s="442"/>
      <c r="AK133" s="442"/>
      <c r="AL133" s="442"/>
      <c r="AM133" s="442"/>
      <c r="AN133" s="443"/>
      <c r="AO133" s="728">
        <f>ROUND(AO132*AH133,2)</f>
        <v>171.1</v>
      </c>
      <c r="AP133" s="729"/>
      <c r="AQ133" s="729"/>
      <c r="AR133" s="730"/>
    </row>
    <row r="134" spans="1:44" ht="18" customHeight="1">
      <c r="A134" s="415" t="s">
        <v>378</v>
      </c>
      <c r="B134" s="415"/>
      <c r="C134" s="434"/>
      <c r="D134" s="434"/>
      <c r="E134" s="434"/>
      <c r="F134" s="434"/>
      <c r="G134" s="434"/>
      <c r="H134" s="434"/>
      <c r="I134" s="434"/>
      <c r="J134" s="434"/>
      <c r="K134" s="434"/>
      <c r="L134" s="434"/>
      <c r="M134" s="434"/>
      <c r="N134" s="434"/>
      <c r="O134" s="434"/>
      <c r="P134" s="434"/>
      <c r="Q134" s="434"/>
      <c r="R134" s="434"/>
      <c r="S134" s="434"/>
      <c r="T134" s="434"/>
      <c r="U134" s="434"/>
      <c r="V134" s="434"/>
      <c r="W134" s="434"/>
      <c r="X134" s="748"/>
      <c r="Y134" s="731" t="s">
        <v>98</v>
      </c>
      <c r="Z134" s="732"/>
      <c r="AA134" s="732"/>
      <c r="AB134" s="732"/>
      <c r="AC134" s="732"/>
      <c r="AD134" s="732"/>
      <c r="AE134" s="732"/>
      <c r="AF134" s="732"/>
      <c r="AG134" s="732"/>
      <c r="AH134" s="732"/>
      <c r="AI134" s="732"/>
      <c r="AJ134" s="732"/>
      <c r="AK134" s="732"/>
      <c r="AL134" s="732"/>
      <c r="AM134" s="732"/>
      <c r="AN134" s="733"/>
      <c r="AO134" s="734">
        <f>SUM(AO132:AR133)</f>
        <v>1013.54</v>
      </c>
      <c r="AP134" s="735"/>
      <c r="AQ134" s="735"/>
      <c r="AR134" s="736"/>
    </row>
    <row r="136" spans="1:44" ht="18" customHeight="1">
      <c r="C136" s="420" t="s">
        <v>99</v>
      </c>
      <c r="D136" s="421"/>
      <c r="E136" s="421"/>
      <c r="F136" s="421"/>
      <c r="G136" s="421"/>
      <c r="H136" s="421"/>
      <c r="I136" s="422"/>
      <c r="J136" s="422"/>
      <c r="K136" s="422"/>
      <c r="L136" s="422"/>
      <c r="M136" s="422"/>
      <c r="N136" s="422"/>
      <c r="O136" s="422"/>
      <c r="P136" s="422"/>
      <c r="Q136" s="422"/>
      <c r="R136" s="422"/>
      <c r="S136" s="422"/>
      <c r="T136" s="422"/>
      <c r="U136" s="422"/>
      <c r="V136" s="422"/>
      <c r="W136" s="422"/>
      <c r="X136" s="422"/>
      <c r="Y136" s="422"/>
      <c r="Z136" s="422"/>
      <c r="AA136" s="422"/>
      <c r="AB136" s="422"/>
      <c r="AC136" s="422"/>
      <c r="AD136" s="422"/>
      <c r="AE136" s="422"/>
      <c r="AF136" s="422"/>
      <c r="AG136" s="422"/>
      <c r="AH136" s="422"/>
      <c r="AI136" s="422"/>
      <c r="AJ136" s="422"/>
      <c r="AK136" s="422"/>
      <c r="AL136" s="422"/>
      <c r="AM136" s="422"/>
      <c r="AN136" s="422"/>
      <c r="AO136" s="422"/>
      <c r="AP136" s="422"/>
      <c r="AQ136" s="422"/>
      <c r="AR136" s="423"/>
    </row>
    <row r="137" spans="1:44" ht="18" customHeight="1">
      <c r="C137" s="411"/>
      <c r="D137" s="412"/>
      <c r="E137" s="412"/>
      <c r="F137" s="412"/>
      <c r="G137" s="412"/>
      <c r="H137" s="412"/>
      <c r="I137" s="409"/>
      <c r="J137" s="409"/>
      <c r="K137" s="409"/>
      <c r="L137" s="409"/>
      <c r="M137" s="409"/>
      <c r="N137" s="409"/>
      <c r="O137" s="409"/>
      <c r="P137" s="409"/>
      <c r="Q137" s="409"/>
      <c r="R137" s="409"/>
      <c r="S137" s="409"/>
      <c r="T137" s="409"/>
      <c r="U137" s="409"/>
      <c r="V137" s="409"/>
      <c r="W137" s="409"/>
      <c r="X137" s="409"/>
      <c r="Y137" s="409"/>
      <c r="Z137" s="409"/>
      <c r="AA137" s="409"/>
      <c r="AB137" s="409"/>
      <c r="AC137" s="409"/>
      <c r="AD137" s="409"/>
      <c r="AE137" s="409"/>
      <c r="AF137" s="409"/>
      <c r="AG137" s="409"/>
      <c r="AH137" s="409"/>
      <c r="AI137" s="409"/>
      <c r="AJ137" s="409"/>
      <c r="AK137" s="409"/>
      <c r="AL137" s="409"/>
      <c r="AM137" s="409"/>
      <c r="AN137" s="409"/>
      <c r="AO137" s="409"/>
      <c r="AP137" s="409"/>
      <c r="AQ137" s="409"/>
      <c r="AR137" s="410"/>
    </row>
    <row r="138" spans="1:44" ht="18" customHeight="1">
      <c r="C138" s="411"/>
      <c r="D138" s="412"/>
      <c r="E138" s="412"/>
      <c r="F138" s="412"/>
      <c r="G138" s="412"/>
      <c r="H138" s="412"/>
      <c r="I138" s="409"/>
      <c r="J138" s="409"/>
      <c r="K138" s="409"/>
      <c r="L138" s="409"/>
      <c r="M138" s="409"/>
      <c r="N138" s="409"/>
      <c r="O138" s="409"/>
      <c r="P138" s="409"/>
      <c r="Q138" s="409"/>
      <c r="R138" s="409"/>
      <c r="S138" s="409"/>
      <c r="T138" s="409"/>
      <c r="U138" s="409"/>
      <c r="V138" s="409"/>
      <c r="W138" s="409"/>
      <c r="X138" s="409"/>
      <c r="Y138" s="409"/>
      <c r="Z138" s="409"/>
      <c r="AA138" s="409"/>
      <c r="AB138" s="409"/>
      <c r="AC138" s="409"/>
      <c r="AD138" s="409"/>
      <c r="AE138" s="409"/>
      <c r="AF138" s="409"/>
      <c r="AG138" s="409"/>
      <c r="AH138" s="409"/>
      <c r="AI138" s="409"/>
      <c r="AJ138" s="409"/>
      <c r="AK138" s="409"/>
      <c r="AL138" s="409"/>
      <c r="AM138" s="409"/>
      <c r="AN138" s="409"/>
      <c r="AO138" s="409"/>
      <c r="AP138" s="409"/>
      <c r="AQ138" s="409"/>
      <c r="AR138" s="410"/>
    </row>
    <row r="139" spans="1:44" ht="18" customHeight="1">
      <c r="C139" s="411"/>
      <c r="D139" s="412"/>
      <c r="E139" s="412"/>
      <c r="F139" s="412"/>
      <c r="G139" s="412"/>
      <c r="H139" s="412"/>
      <c r="I139" s="409"/>
      <c r="J139" s="409"/>
      <c r="K139" s="409"/>
      <c r="L139" s="409"/>
      <c r="M139" s="409"/>
      <c r="N139" s="409"/>
      <c r="O139" s="409"/>
      <c r="P139" s="409"/>
      <c r="Q139" s="409"/>
      <c r="R139" s="409"/>
      <c r="S139" s="409"/>
      <c r="T139" s="409"/>
      <c r="U139" s="409"/>
      <c r="V139" s="409"/>
      <c r="W139" s="409"/>
      <c r="X139" s="409"/>
      <c r="Y139" s="409"/>
      <c r="Z139" s="409"/>
      <c r="AA139" s="409"/>
      <c r="AB139" s="409"/>
      <c r="AC139" s="409"/>
      <c r="AD139" s="409"/>
      <c r="AE139" s="409"/>
      <c r="AF139" s="409"/>
      <c r="AG139" s="409"/>
      <c r="AH139" s="409"/>
      <c r="AI139" s="409"/>
      <c r="AJ139" s="409"/>
      <c r="AK139" s="409"/>
      <c r="AL139" s="409"/>
      <c r="AM139" s="409"/>
      <c r="AN139" s="409"/>
      <c r="AO139" s="409"/>
      <c r="AP139" s="409"/>
      <c r="AQ139" s="409"/>
      <c r="AR139" s="410"/>
    </row>
    <row r="140" spans="1:44" ht="18" customHeight="1">
      <c r="C140" s="411"/>
      <c r="D140" s="412"/>
      <c r="E140" s="412"/>
      <c r="F140" s="412"/>
      <c r="G140" s="412"/>
      <c r="H140" s="412"/>
      <c r="I140" s="409"/>
      <c r="J140" s="409"/>
      <c r="K140" s="409"/>
      <c r="L140" s="409"/>
      <c r="M140" s="409"/>
      <c r="N140" s="409"/>
      <c r="O140" s="409"/>
      <c r="P140" s="409"/>
      <c r="Q140" s="409"/>
      <c r="R140" s="409"/>
      <c r="S140" s="409"/>
      <c r="T140" s="409"/>
      <c r="U140" s="409"/>
      <c r="V140" s="409"/>
      <c r="W140" s="409"/>
      <c r="X140" s="409"/>
      <c r="Y140" s="409"/>
      <c r="Z140" s="409"/>
      <c r="AA140" s="409"/>
      <c r="AB140" s="409"/>
      <c r="AC140" s="409"/>
      <c r="AD140" s="409"/>
      <c r="AE140" s="409"/>
      <c r="AF140" s="409"/>
      <c r="AG140" s="409"/>
      <c r="AH140" s="409"/>
      <c r="AI140" s="409"/>
      <c r="AJ140" s="409"/>
      <c r="AK140" s="409"/>
      <c r="AL140" s="409"/>
      <c r="AM140" s="409"/>
      <c r="AN140" s="409"/>
      <c r="AO140" s="409"/>
      <c r="AP140" s="409"/>
      <c r="AQ140" s="409"/>
      <c r="AR140" s="410"/>
    </row>
    <row r="141" spans="1:44" ht="18" customHeight="1">
      <c r="C141" s="385"/>
      <c r="D141" s="386"/>
      <c r="E141" s="386"/>
      <c r="F141" s="386"/>
      <c r="G141" s="386"/>
      <c r="H141" s="386"/>
      <c r="I141" s="387"/>
      <c r="J141" s="387"/>
      <c r="K141" s="387"/>
      <c r="L141" s="387"/>
      <c r="M141" s="387"/>
      <c r="N141" s="387"/>
      <c r="O141" s="387"/>
      <c r="P141" s="387"/>
      <c r="Q141" s="387"/>
      <c r="R141" s="387"/>
      <c r="S141" s="387"/>
      <c r="T141" s="387"/>
      <c r="U141" s="387"/>
      <c r="V141" s="387"/>
      <c r="W141" s="387"/>
      <c r="X141" s="387"/>
      <c r="Y141" s="387"/>
      <c r="Z141" s="387"/>
      <c r="AA141" s="387"/>
      <c r="AB141" s="387"/>
      <c r="AC141" s="387"/>
      <c r="AD141" s="387"/>
      <c r="AE141" s="387"/>
      <c r="AF141" s="387"/>
      <c r="AG141" s="387"/>
      <c r="AH141" s="387"/>
      <c r="AI141" s="387"/>
      <c r="AJ141" s="387"/>
      <c r="AK141" s="387"/>
      <c r="AL141" s="387"/>
      <c r="AM141" s="387"/>
      <c r="AN141" s="387"/>
      <c r="AO141" s="387"/>
      <c r="AP141" s="387"/>
      <c r="AQ141" s="387"/>
      <c r="AR141" s="388"/>
    </row>
    <row r="143" spans="1:44" ht="18" customHeight="1">
      <c r="C143" s="389" t="s">
        <v>100</v>
      </c>
      <c r="D143" s="390"/>
      <c r="E143" s="390"/>
      <c r="F143" s="390"/>
      <c r="G143" s="390"/>
      <c r="H143" s="390"/>
      <c r="I143" s="390"/>
      <c r="J143" s="390"/>
      <c r="K143" s="390"/>
      <c r="L143" s="390"/>
      <c r="M143" s="390"/>
      <c r="N143" s="390"/>
      <c r="O143" s="390"/>
      <c r="P143" s="390"/>
      <c r="Q143" s="390"/>
      <c r="R143" s="390"/>
      <c r="S143" s="390"/>
      <c r="T143" s="390"/>
      <c r="U143" s="390"/>
      <c r="V143" s="390"/>
      <c r="W143" s="390"/>
      <c r="X143" s="390"/>
      <c r="Y143" s="390"/>
      <c r="Z143" s="390"/>
      <c r="AA143" s="391"/>
      <c r="AB143" s="392" t="str">
        <f>[4]C.UNIT.SERV.!$E$5</f>
        <v>DATA-BASE:      MAIO/2011/PR</v>
      </c>
      <c r="AC143" s="393"/>
      <c r="AD143" s="393"/>
      <c r="AE143" s="393"/>
      <c r="AF143" s="393"/>
      <c r="AG143" s="393"/>
      <c r="AH143" s="393"/>
      <c r="AI143" s="394"/>
      <c r="AJ143" s="392"/>
      <c r="AK143" s="393"/>
      <c r="AL143" s="393"/>
      <c r="AM143" s="393"/>
      <c r="AN143" s="393"/>
      <c r="AO143" s="393"/>
      <c r="AP143" s="393"/>
      <c r="AQ143" s="393"/>
      <c r="AR143" s="401"/>
    </row>
    <row r="144" spans="1:44" ht="18" customHeight="1">
      <c r="C144" s="404" t="s">
        <v>101</v>
      </c>
      <c r="D144" s="405"/>
      <c r="E144" s="405"/>
      <c r="F144" s="405"/>
      <c r="G144" s="405" t="s">
        <v>283</v>
      </c>
      <c r="H144" s="405"/>
      <c r="I144" s="405"/>
      <c r="J144" s="405"/>
      <c r="K144" s="405"/>
      <c r="L144" s="405"/>
      <c r="M144" s="405"/>
      <c r="N144" s="405"/>
      <c r="O144" s="405"/>
      <c r="P144" s="405"/>
      <c r="Q144" s="405"/>
      <c r="R144" s="405"/>
      <c r="S144" s="405"/>
      <c r="T144" s="405"/>
      <c r="U144" s="405"/>
      <c r="V144" s="405"/>
      <c r="W144" s="405"/>
      <c r="X144" s="405"/>
      <c r="Y144" s="405"/>
      <c r="Z144" s="405"/>
      <c r="AA144" s="406"/>
      <c r="AB144" s="395"/>
      <c r="AC144" s="396"/>
      <c r="AD144" s="396"/>
      <c r="AE144" s="396"/>
      <c r="AF144" s="396"/>
      <c r="AG144" s="396"/>
      <c r="AH144" s="396"/>
      <c r="AI144" s="397"/>
      <c r="AJ144" s="395"/>
      <c r="AK144" s="396"/>
      <c r="AL144" s="396"/>
      <c r="AM144" s="396"/>
      <c r="AN144" s="396"/>
      <c r="AO144" s="396"/>
      <c r="AP144" s="396"/>
      <c r="AQ144" s="396"/>
      <c r="AR144" s="402"/>
    </row>
    <row r="145" spans="3:44" ht="18" customHeight="1">
      <c r="C145" s="404" t="s">
        <v>102</v>
      </c>
      <c r="D145" s="405"/>
      <c r="E145" s="405"/>
      <c r="F145" s="405"/>
      <c r="G145" s="405"/>
      <c r="H145" s="405"/>
      <c r="I145" s="405"/>
      <c r="J145" s="405"/>
      <c r="K145" s="405"/>
      <c r="L145" s="405"/>
      <c r="M145" s="405"/>
      <c r="N145" s="405"/>
      <c r="O145" s="405"/>
      <c r="P145" s="405"/>
      <c r="Q145" s="405"/>
      <c r="R145" s="405"/>
      <c r="S145" s="405"/>
      <c r="T145" s="405"/>
      <c r="U145" s="405"/>
      <c r="V145" s="405"/>
      <c r="W145" s="405"/>
      <c r="X145" s="405"/>
      <c r="Y145" s="405"/>
      <c r="Z145" s="405"/>
      <c r="AA145" s="406"/>
      <c r="AB145" s="395"/>
      <c r="AC145" s="396"/>
      <c r="AD145" s="396"/>
      <c r="AE145" s="396"/>
      <c r="AF145" s="396"/>
      <c r="AG145" s="396"/>
      <c r="AH145" s="396"/>
      <c r="AI145" s="397"/>
      <c r="AJ145" s="395"/>
      <c r="AK145" s="396"/>
      <c r="AL145" s="396"/>
      <c r="AM145" s="396"/>
      <c r="AN145" s="396"/>
      <c r="AO145" s="396"/>
      <c r="AP145" s="396"/>
      <c r="AQ145" s="396"/>
      <c r="AR145" s="402"/>
    </row>
    <row r="146" spans="3:44" ht="18" customHeight="1">
      <c r="C146" s="407"/>
      <c r="D146" s="408"/>
      <c r="E146" s="408"/>
      <c r="F146" s="408"/>
      <c r="G146" s="408"/>
      <c r="H146" s="408"/>
      <c r="I146" s="408"/>
      <c r="J146" s="408"/>
      <c r="K146" s="408"/>
      <c r="L146" s="408"/>
      <c r="M146" s="408"/>
      <c r="N146" s="408"/>
      <c r="O146" s="408"/>
      <c r="P146" s="408"/>
      <c r="Q146" s="408"/>
      <c r="R146" s="408"/>
      <c r="S146" s="408"/>
      <c r="T146" s="408"/>
      <c r="U146" s="408"/>
      <c r="V146" s="408"/>
      <c r="W146" s="408"/>
      <c r="X146" s="408"/>
      <c r="Y146" s="408"/>
      <c r="Z146" s="408"/>
      <c r="AA146" s="408"/>
      <c r="AB146" s="398"/>
      <c r="AC146" s="399"/>
      <c r="AD146" s="399"/>
      <c r="AE146" s="399"/>
      <c r="AF146" s="399"/>
      <c r="AG146" s="399"/>
      <c r="AH146" s="399"/>
      <c r="AI146" s="400"/>
      <c r="AJ146" s="398"/>
      <c r="AK146" s="399"/>
      <c r="AL146" s="399"/>
      <c r="AM146" s="399"/>
      <c r="AN146" s="399"/>
      <c r="AO146" s="399"/>
      <c r="AP146" s="399"/>
      <c r="AQ146" s="399"/>
      <c r="AR146" s="403"/>
    </row>
    <row r="148" spans="3:44" ht="18" customHeight="1">
      <c r="C148" s="850" t="s">
        <v>64</v>
      </c>
      <c r="D148" s="851"/>
      <c r="E148" s="851"/>
      <c r="F148" s="851"/>
      <c r="G148" s="851"/>
      <c r="H148" s="851"/>
      <c r="I148" s="851"/>
      <c r="J148" s="851"/>
      <c r="K148" s="851"/>
      <c r="L148" s="851"/>
      <c r="M148" s="851"/>
      <c r="N148" s="851"/>
      <c r="O148" s="851"/>
      <c r="P148" s="851"/>
      <c r="Q148" s="851"/>
      <c r="R148" s="851"/>
      <c r="S148" s="851"/>
      <c r="T148" s="851"/>
      <c r="U148" s="851"/>
      <c r="V148" s="851"/>
      <c r="W148" s="851"/>
      <c r="X148" s="851"/>
      <c r="Y148" s="851"/>
      <c r="Z148" s="851"/>
      <c r="AA148" s="851"/>
      <c r="AB148" s="851"/>
      <c r="AC148" s="851"/>
      <c r="AD148" s="851"/>
      <c r="AE148" s="851"/>
      <c r="AF148" s="851"/>
      <c r="AG148" s="851"/>
      <c r="AH148" s="851"/>
      <c r="AI148" s="851"/>
      <c r="AJ148" s="851"/>
      <c r="AK148" s="851"/>
      <c r="AL148" s="851"/>
      <c r="AM148" s="851"/>
      <c r="AN148" s="851"/>
      <c r="AO148" s="851"/>
      <c r="AP148" s="851"/>
      <c r="AQ148" s="851"/>
      <c r="AR148" s="852"/>
    </row>
    <row r="149" spans="3:44" ht="18" customHeight="1">
      <c r="C149" s="853"/>
      <c r="D149" s="854"/>
      <c r="E149" s="854"/>
      <c r="F149" s="854"/>
      <c r="G149" s="854"/>
      <c r="H149" s="854"/>
      <c r="I149" s="854"/>
      <c r="J149" s="854"/>
      <c r="K149" s="854"/>
      <c r="L149" s="854"/>
      <c r="M149" s="854"/>
      <c r="N149" s="854"/>
      <c r="O149" s="854"/>
      <c r="P149" s="854"/>
      <c r="Q149" s="854"/>
      <c r="R149" s="854"/>
      <c r="S149" s="854"/>
      <c r="T149" s="854"/>
      <c r="U149" s="854"/>
      <c r="V149" s="854"/>
      <c r="W149" s="854"/>
      <c r="X149" s="854"/>
      <c r="Y149" s="854"/>
      <c r="Z149" s="854"/>
      <c r="AA149" s="854"/>
      <c r="AB149" s="854"/>
      <c r="AC149" s="854"/>
      <c r="AD149" s="854"/>
      <c r="AE149" s="854"/>
      <c r="AF149" s="854"/>
      <c r="AG149" s="854"/>
      <c r="AH149" s="854"/>
      <c r="AI149" s="854"/>
      <c r="AJ149" s="854"/>
      <c r="AK149" s="854"/>
      <c r="AL149" s="854"/>
      <c r="AM149" s="854"/>
      <c r="AN149" s="854"/>
      <c r="AO149" s="854"/>
      <c r="AP149" s="854"/>
      <c r="AQ149" s="854"/>
      <c r="AR149" s="855"/>
    </row>
    <row r="150" spans="3:44" ht="18" customHeight="1">
      <c r="C150" s="856" t="s">
        <v>65</v>
      </c>
      <c r="D150" s="857"/>
      <c r="E150" s="857"/>
      <c r="F150" s="857"/>
      <c r="G150" s="860" t="s">
        <v>419</v>
      </c>
      <c r="H150" s="860"/>
      <c r="I150" s="860"/>
      <c r="J150" s="861"/>
      <c r="K150" s="864" t="s">
        <v>66</v>
      </c>
      <c r="L150" s="865"/>
      <c r="M150" s="865"/>
      <c r="N150" s="865"/>
      <c r="O150" s="526" t="s">
        <v>421</v>
      </c>
      <c r="P150" s="526"/>
      <c r="Q150" s="526"/>
      <c r="R150" s="526"/>
      <c r="S150" s="526"/>
      <c r="T150" s="526"/>
      <c r="U150" s="526"/>
      <c r="V150" s="526"/>
      <c r="W150" s="526"/>
      <c r="X150" s="526"/>
      <c r="Y150" s="526"/>
      <c r="Z150" s="526"/>
      <c r="AA150" s="526"/>
      <c r="AB150" s="526"/>
      <c r="AC150" s="526"/>
      <c r="AD150" s="526"/>
      <c r="AE150" s="526"/>
      <c r="AF150" s="526"/>
      <c r="AG150" s="526"/>
      <c r="AH150" s="526"/>
      <c r="AI150" s="526"/>
      <c r="AJ150" s="526"/>
      <c r="AK150" s="527"/>
      <c r="AL150" s="864" t="s">
        <v>67</v>
      </c>
      <c r="AM150" s="865"/>
      <c r="AN150" s="865"/>
      <c r="AO150" s="865"/>
      <c r="AP150" s="843" t="s">
        <v>194</v>
      </c>
      <c r="AQ150" s="843"/>
      <c r="AR150" s="844"/>
    </row>
    <row r="151" spans="3:44" ht="18" customHeight="1">
      <c r="C151" s="858"/>
      <c r="D151" s="859"/>
      <c r="E151" s="859"/>
      <c r="F151" s="859"/>
      <c r="G151" s="862"/>
      <c r="H151" s="862"/>
      <c r="I151" s="862"/>
      <c r="J151" s="863"/>
      <c r="K151" s="866"/>
      <c r="L151" s="867"/>
      <c r="M151" s="867"/>
      <c r="N151" s="867"/>
      <c r="O151" s="528"/>
      <c r="P151" s="528"/>
      <c r="Q151" s="528"/>
      <c r="R151" s="528"/>
      <c r="S151" s="528"/>
      <c r="T151" s="528"/>
      <c r="U151" s="528"/>
      <c r="V151" s="528"/>
      <c r="W151" s="528"/>
      <c r="X151" s="528"/>
      <c r="Y151" s="528"/>
      <c r="Z151" s="528"/>
      <c r="AA151" s="528"/>
      <c r="AB151" s="528"/>
      <c r="AC151" s="528"/>
      <c r="AD151" s="528"/>
      <c r="AE151" s="528"/>
      <c r="AF151" s="528"/>
      <c r="AG151" s="528"/>
      <c r="AH151" s="528"/>
      <c r="AI151" s="528"/>
      <c r="AJ151" s="528"/>
      <c r="AK151" s="529"/>
      <c r="AL151" s="866"/>
      <c r="AM151" s="867"/>
      <c r="AN151" s="867"/>
      <c r="AO151" s="867"/>
      <c r="AP151" s="845"/>
      <c r="AQ151" s="845"/>
      <c r="AR151" s="846"/>
    </row>
    <row r="153" spans="3:44" ht="18" customHeight="1">
      <c r="C153" s="794" t="s">
        <v>43</v>
      </c>
      <c r="D153" s="774"/>
      <c r="E153" s="775"/>
      <c r="F153" s="773" t="s">
        <v>68</v>
      </c>
      <c r="G153" s="774"/>
      <c r="H153" s="774"/>
      <c r="I153" s="774"/>
      <c r="J153" s="774"/>
      <c r="K153" s="774"/>
      <c r="L153" s="774"/>
      <c r="M153" s="774"/>
      <c r="N153" s="774"/>
      <c r="O153" s="774"/>
      <c r="P153" s="774"/>
      <c r="Q153" s="774"/>
      <c r="R153" s="774"/>
      <c r="S153" s="774"/>
      <c r="T153" s="774"/>
      <c r="U153" s="775"/>
      <c r="V153" s="773" t="s">
        <v>249</v>
      </c>
      <c r="W153" s="774"/>
      <c r="X153" s="775"/>
      <c r="Y153" s="847" t="s">
        <v>69</v>
      </c>
      <c r="Z153" s="848"/>
      <c r="AA153" s="848"/>
      <c r="AB153" s="848"/>
      <c r="AC153" s="848"/>
      <c r="AD153" s="848"/>
      <c r="AE153" s="848"/>
      <c r="AF153" s="849"/>
      <c r="AG153" s="847" t="s">
        <v>70</v>
      </c>
      <c r="AH153" s="848"/>
      <c r="AI153" s="848"/>
      <c r="AJ153" s="848"/>
      <c r="AK153" s="848"/>
      <c r="AL153" s="848"/>
      <c r="AM153" s="848"/>
      <c r="AN153" s="849"/>
      <c r="AO153" s="773" t="s">
        <v>71</v>
      </c>
      <c r="AP153" s="774"/>
      <c r="AQ153" s="774"/>
      <c r="AR153" s="779"/>
    </row>
    <row r="154" spans="3:44" ht="18" customHeight="1">
      <c r="C154" s="795"/>
      <c r="D154" s="777"/>
      <c r="E154" s="778"/>
      <c r="F154" s="776"/>
      <c r="G154" s="777"/>
      <c r="H154" s="777"/>
      <c r="I154" s="777"/>
      <c r="J154" s="777"/>
      <c r="K154" s="777"/>
      <c r="L154" s="777"/>
      <c r="M154" s="777"/>
      <c r="N154" s="777"/>
      <c r="O154" s="777"/>
      <c r="P154" s="777"/>
      <c r="Q154" s="777"/>
      <c r="R154" s="777"/>
      <c r="S154" s="777"/>
      <c r="T154" s="777"/>
      <c r="U154" s="778"/>
      <c r="V154" s="776"/>
      <c r="W154" s="777"/>
      <c r="X154" s="778"/>
      <c r="Y154" s="834" t="s">
        <v>72</v>
      </c>
      <c r="Z154" s="835"/>
      <c r="AA154" s="835"/>
      <c r="AB154" s="836"/>
      <c r="AC154" s="834" t="s">
        <v>73</v>
      </c>
      <c r="AD154" s="835"/>
      <c r="AE154" s="835"/>
      <c r="AF154" s="836"/>
      <c r="AG154" s="834" t="s">
        <v>72</v>
      </c>
      <c r="AH154" s="835"/>
      <c r="AI154" s="835"/>
      <c r="AJ154" s="836"/>
      <c r="AK154" s="834" t="s">
        <v>73</v>
      </c>
      <c r="AL154" s="835"/>
      <c r="AM154" s="835"/>
      <c r="AN154" s="836"/>
      <c r="AO154" s="776"/>
      <c r="AP154" s="777"/>
      <c r="AQ154" s="777"/>
      <c r="AR154" s="780"/>
    </row>
    <row r="155" spans="3:44" ht="18" customHeight="1">
      <c r="C155" s="781"/>
      <c r="D155" s="782"/>
      <c r="E155" s="783"/>
      <c r="F155" s="493"/>
      <c r="G155" s="493"/>
      <c r="H155" s="493"/>
      <c r="I155" s="493"/>
      <c r="J155" s="493"/>
      <c r="K155" s="493"/>
      <c r="L155" s="493"/>
      <c r="M155" s="493"/>
      <c r="N155" s="493"/>
      <c r="O155" s="493"/>
      <c r="P155" s="493"/>
      <c r="Q155" s="493"/>
      <c r="R155" s="493"/>
      <c r="S155" s="493"/>
      <c r="T155" s="493"/>
      <c r="U155" s="493"/>
      <c r="V155" s="837"/>
      <c r="W155" s="838"/>
      <c r="X155" s="839"/>
      <c r="Y155" s="837"/>
      <c r="Z155" s="838"/>
      <c r="AA155" s="838"/>
      <c r="AB155" s="839"/>
      <c r="AC155" s="868"/>
      <c r="AD155" s="869"/>
      <c r="AE155" s="869"/>
      <c r="AF155" s="870"/>
      <c r="AG155" s="491"/>
      <c r="AH155" s="491"/>
      <c r="AI155" s="491"/>
      <c r="AJ155" s="491"/>
      <c r="AK155" s="491"/>
      <c r="AL155" s="491"/>
      <c r="AM155" s="491"/>
      <c r="AN155" s="491"/>
      <c r="AO155" s="491"/>
      <c r="AP155" s="491"/>
      <c r="AQ155" s="491"/>
      <c r="AR155" s="492"/>
    </row>
    <row r="156" spans="3:44" ht="18" customHeight="1">
      <c r="C156" s="758"/>
      <c r="D156" s="759"/>
      <c r="E156" s="760"/>
      <c r="F156" s="493"/>
      <c r="G156" s="493"/>
      <c r="H156" s="493"/>
      <c r="I156" s="493"/>
      <c r="J156" s="493"/>
      <c r="K156" s="493"/>
      <c r="L156" s="493"/>
      <c r="M156" s="493"/>
      <c r="N156" s="493"/>
      <c r="O156" s="493"/>
      <c r="P156" s="493"/>
      <c r="Q156" s="493"/>
      <c r="R156" s="493"/>
      <c r="S156" s="493"/>
      <c r="T156" s="493"/>
      <c r="U156" s="493"/>
      <c r="V156" s="466"/>
      <c r="W156" s="467"/>
      <c r="X156" s="468"/>
      <c r="Y156" s="466"/>
      <c r="Z156" s="467"/>
      <c r="AA156" s="467"/>
      <c r="AB156" s="468"/>
      <c r="AC156" s="828"/>
      <c r="AD156" s="829"/>
      <c r="AE156" s="829"/>
      <c r="AF156" s="830"/>
      <c r="AG156" s="491"/>
      <c r="AH156" s="491"/>
      <c r="AI156" s="491"/>
      <c r="AJ156" s="491"/>
      <c r="AK156" s="491"/>
      <c r="AL156" s="491"/>
      <c r="AM156" s="491"/>
      <c r="AN156" s="491"/>
      <c r="AO156" s="491"/>
      <c r="AP156" s="491"/>
      <c r="AQ156" s="491"/>
      <c r="AR156" s="492"/>
    </row>
    <row r="157" spans="3:44" ht="18" customHeight="1">
      <c r="C157" s="758"/>
      <c r="D157" s="759"/>
      <c r="E157" s="760"/>
      <c r="F157" s="493"/>
      <c r="G157" s="493"/>
      <c r="H157" s="493"/>
      <c r="I157" s="493"/>
      <c r="J157" s="493"/>
      <c r="K157" s="493"/>
      <c r="L157" s="493"/>
      <c r="M157" s="493"/>
      <c r="N157" s="493"/>
      <c r="O157" s="493"/>
      <c r="P157" s="493"/>
      <c r="Q157" s="493"/>
      <c r="R157" s="493"/>
      <c r="S157" s="493"/>
      <c r="T157" s="493"/>
      <c r="U157" s="493"/>
      <c r="V157" s="466"/>
      <c r="W157" s="467"/>
      <c r="X157" s="468"/>
      <c r="Y157" s="466"/>
      <c r="Z157" s="467"/>
      <c r="AA157" s="467"/>
      <c r="AB157" s="468"/>
      <c r="AC157" s="828"/>
      <c r="AD157" s="829"/>
      <c r="AE157" s="829"/>
      <c r="AF157" s="830"/>
      <c r="AG157" s="491"/>
      <c r="AH157" s="491"/>
      <c r="AI157" s="491"/>
      <c r="AJ157" s="491"/>
      <c r="AK157" s="491"/>
      <c r="AL157" s="491"/>
      <c r="AM157" s="491"/>
      <c r="AN157" s="491"/>
      <c r="AO157" s="491"/>
      <c r="AP157" s="491"/>
      <c r="AQ157" s="491"/>
      <c r="AR157" s="492"/>
    </row>
    <row r="158" spans="3:44" ht="18" customHeight="1">
      <c r="C158" s="758"/>
      <c r="D158" s="759"/>
      <c r="E158" s="760"/>
      <c r="F158" s="493"/>
      <c r="G158" s="493"/>
      <c r="H158" s="493"/>
      <c r="I158" s="493"/>
      <c r="J158" s="493"/>
      <c r="K158" s="493"/>
      <c r="L158" s="493"/>
      <c r="M158" s="493"/>
      <c r="N158" s="493"/>
      <c r="O158" s="493"/>
      <c r="P158" s="493"/>
      <c r="Q158" s="493"/>
      <c r="R158" s="493"/>
      <c r="S158" s="493"/>
      <c r="T158" s="493"/>
      <c r="U158" s="493"/>
      <c r="V158" s="466"/>
      <c r="W158" s="467"/>
      <c r="X158" s="468"/>
      <c r="Y158" s="466"/>
      <c r="Z158" s="467"/>
      <c r="AA158" s="467"/>
      <c r="AB158" s="468"/>
      <c r="AC158" s="828"/>
      <c r="AD158" s="829"/>
      <c r="AE158" s="829"/>
      <c r="AF158" s="830"/>
      <c r="AG158" s="491"/>
      <c r="AH158" s="491"/>
      <c r="AI158" s="491"/>
      <c r="AJ158" s="491"/>
      <c r="AK158" s="491"/>
      <c r="AL158" s="491"/>
      <c r="AM158" s="491"/>
      <c r="AN158" s="491"/>
      <c r="AO158" s="491"/>
      <c r="AP158" s="491"/>
      <c r="AQ158" s="491"/>
      <c r="AR158" s="492"/>
    </row>
    <row r="159" spans="3:44" ht="18" customHeight="1">
      <c r="C159" s="758"/>
      <c r="D159" s="759"/>
      <c r="E159" s="760"/>
      <c r="F159" s="493"/>
      <c r="G159" s="493"/>
      <c r="H159" s="493"/>
      <c r="I159" s="493"/>
      <c r="J159" s="493"/>
      <c r="K159" s="493"/>
      <c r="L159" s="493"/>
      <c r="M159" s="493"/>
      <c r="N159" s="493"/>
      <c r="O159" s="493"/>
      <c r="P159" s="493"/>
      <c r="Q159" s="493"/>
      <c r="R159" s="493"/>
      <c r="S159" s="493"/>
      <c r="T159" s="493"/>
      <c r="U159" s="493"/>
      <c r="V159" s="466"/>
      <c r="W159" s="467"/>
      <c r="X159" s="468"/>
      <c r="Y159" s="466"/>
      <c r="Z159" s="467"/>
      <c r="AA159" s="467"/>
      <c r="AB159" s="468"/>
      <c r="AC159" s="828"/>
      <c r="AD159" s="829"/>
      <c r="AE159" s="829"/>
      <c r="AF159" s="830"/>
      <c r="AG159" s="491"/>
      <c r="AH159" s="491"/>
      <c r="AI159" s="491"/>
      <c r="AJ159" s="491"/>
      <c r="AK159" s="491"/>
      <c r="AL159" s="491"/>
      <c r="AM159" s="491"/>
      <c r="AN159" s="491"/>
      <c r="AO159" s="491"/>
      <c r="AP159" s="491"/>
      <c r="AQ159" s="491"/>
      <c r="AR159" s="492"/>
    </row>
    <row r="160" spans="3:44" ht="18" customHeight="1">
      <c r="C160" s="758"/>
      <c r="D160" s="759"/>
      <c r="E160" s="760"/>
      <c r="F160" s="493"/>
      <c r="G160" s="493"/>
      <c r="H160" s="493"/>
      <c r="I160" s="493"/>
      <c r="J160" s="493"/>
      <c r="K160" s="493"/>
      <c r="L160" s="493"/>
      <c r="M160" s="493"/>
      <c r="N160" s="493"/>
      <c r="O160" s="493"/>
      <c r="P160" s="493"/>
      <c r="Q160" s="493"/>
      <c r="R160" s="493"/>
      <c r="S160" s="493"/>
      <c r="T160" s="493"/>
      <c r="U160" s="493"/>
      <c r="V160" s="466"/>
      <c r="W160" s="467"/>
      <c r="X160" s="468"/>
      <c r="Y160" s="466"/>
      <c r="Z160" s="467"/>
      <c r="AA160" s="467"/>
      <c r="AB160" s="468"/>
      <c r="AC160" s="828"/>
      <c r="AD160" s="829"/>
      <c r="AE160" s="829"/>
      <c r="AF160" s="830"/>
      <c r="AG160" s="491"/>
      <c r="AH160" s="491"/>
      <c r="AI160" s="491"/>
      <c r="AJ160" s="491"/>
      <c r="AK160" s="491"/>
      <c r="AL160" s="491"/>
      <c r="AM160" s="491"/>
      <c r="AN160" s="491"/>
      <c r="AO160" s="491"/>
      <c r="AP160" s="491"/>
      <c r="AQ160" s="491"/>
      <c r="AR160" s="492"/>
    </row>
    <row r="161" spans="3:44" ht="18" customHeight="1">
      <c r="C161" s="758"/>
      <c r="D161" s="759"/>
      <c r="E161" s="760"/>
      <c r="F161" s="796"/>
      <c r="G161" s="797"/>
      <c r="H161" s="797"/>
      <c r="I161" s="797"/>
      <c r="J161" s="797"/>
      <c r="K161" s="797"/>
      <c r="L161" s="797"/>
      <c r="M161" s="797"/>
      <c r="N161" s="797"/>
      <c r="O161" s="797"/>
      <c r="P161" s="797"/>
      <c r="Q161" s="797"/>
      <c r="R161" s="797"/>
      <c r="S161" s="797"/>
      <c r="T161" s="797"/>
      <c r="U161" s="798"/>
      <c r="V161" s="466"/>
      <c r="W161" s="467"/>
      <c r="X161" s="468"/>
      <c r="Y161" s="466"/>
      <c r="Z161" s="467"/>
      <c r="AA161" s="467"/>
      <c r="AB161" s="468"/>
      <c r="AC161" s="828"/>
      <c r="AD161" s="829"/>
      <c r="AE161" s="829"/>
      <c r="AF161" s="830"/>
      <c r="AG161" s="466"/>
      <c r="AH161" s="467"/>
      <c r="AI161" s="467"/>
      <c r="AJ161" s="468"/>
      <c r="AK161" s="466"/>
      <c r="AL161" s="467"/>
      <c r="AM161" s="467"/>
      <c r="AN161" s="468"/>
      <c r="AO161" s="466"/>
      <c r="AP161" s="467"/>
      <c r="AQ161" s="467"/>
      <c r="AR161" s="823"/>
    </row>
    <row r="162" spans="3:44" ht="18" customHeight="1">
      <c r="C162" s="758"/>
      <c r="D162" s="759"/>
      <c r="E162" s="760"/>
      <c r="F162" s="796"/>
      <c r="G162" s="797"/>
      <c r="H162" s="797"/>
      <c r="I162" s="797"/>
      <c r="J162" s="797"/>
      <c r="K162" s="797"/>
      <c r="L162" s="797"/>
      <c r="M162" s="797"/>
      <c r="N162" s="797"/>
      <c r="O162" s="797"/>
      <c r="P162" s="797"/>
      <c r="Q162" s="797"/>
      <c r="R162" s="797"/>
      <c r="S162" s="797"/>
      <c r="T162" s="797"/>
      <c r="U162" s="798"/>
      <c r="V162" s="466"/>
      <c r="W162" s="467"/>
      <c r="X162" s="468"/>
      <c r="Y162" s="466"/>
      <c r="Z162" s="467"/>
      <c r="AA162" s="467"/>
      <c r="AB162" s="468"/>
      <c r="AC162" s="828"/>
      <c r="AD162" s="829"/>
      <c r="AE162" s="829"/>
      <c r="AF162" s="830"/>
      <c r="AG162" s="466"/>
      <c r="AH162" s="467"/>
      <c r="AI162" s="467"/>
      <c r="AJ162" s="468"/>
      <c r="AK162" s="466"/>
      <c r="AL162" s="467"/>
      <c r="AM162" s="467"/>
      <c r="AN162" s="468"/>
      <c r="AO162" s="466"/>
      <c r="AP162" s="467"/>
      <c r="AQ162" s="467"/>
      <c r="AR162" s="823"/>
    </row>
    <row r="163" spans="3:44" ht="18" customHeight="1">
      <c r="C163" s="743"/>
      <c r="D163" s="744"/>
      <c r="E163" s="744"/>
      <c r="F163" s="744"/>
      <c r="G163" s="744"/>
      <c r="H163" s="744"/>
      <c r="I163" s="744"/>
      <c r="J163" s="744"/>
      <c r="K163" s="744"/>
      <c r="L163" s="744"/>
      <c r="M163" s="744"/>
      <c r="N163" s="744"/>
      <c r="O163" s="744"/>
      <c r="P163" s="744"/>
      <c r="Q163" s="744"/>
      <c r="R163" s="744"/>
      <c r="S163" s="744"/>
      <c r="T163" s="744"/>
      <c r="U163" s="744"/>
      <c r="V163" s="744"/>
      <c r="W163" s="744"/>
      <c r="X163" s="824"/>
      <c r="Y163" s="825" t="s">
        <v>74</v>
      </c>
      <c r="Z163" s="826"/>
      <c r="AA163" s="826"/>
      <c r="AB163" s="826"/>
      <c r="AC163" s="826"/>
      <c r="AD163" s="826"/>
      <c r="AE163" s="826"/>
      <c r="AF163" s="826"/>
      <c r="AG163" s="826"/>
      <c r="AH163" s="826"/>
      <c r="AI163" s="826"/>
      <c r="AJ163" s="826"/>
      <c r="AK163" s="826"/>
      <c r="AL163" s="826"/>
      <c r="AM163" s="826"/>
      <c r="AN163" s="827"/>
      <c r="AO163" s="477">
        <f>SUM(AO155:AR162)</f>
        <v>0</v>
      </c>
      <c r="AP163" s="746"/>
      <c r="AQ163" s="746"/>
      <c r="AR163" s="747"/>
    </row>
    <row r="165" spans="3:44" ht="18" customHeight="1">
      <c r="C165" s="794" t="s">
        <v>43</v>
      </c>
      <c r="D165" s="774"/>
      <c r="E165" s="775"/>
      <c r="F165" s="773" t="s">
        <v>75</v>
      </c>
      <c r="G165" s="774"/>
      <c r="H165" s="774"/>
      <c r="I165" s="774"/>
      <c r="J165" s="774"/>
      <c r="K165" s="774"/>
      <c r="L165" s="774"/>
      <c r="M165" s="774"/>
      <c r="N165" s="774"/>
      <c r="O165" s="774"/>
      <c r="P165" s="774"/>
      <c r="Q165" s="774"/>
      <c r="R165" s="774"/>
      <c r="S165" s="774"/>
      <c r="T165" s="774"/>
      <c r="U165" s="774"/>
      <c r="V165" s="774"/>
      <c r="W165" s="774"/>
      <c r="X165" s="774"/>
      <c r="Y165" s="774"/>
      <c r="Z165" s="774"/>
      <c r="AA165" s="774"/>
      <c r="AB165" s="775"/>
      <c r="AC165" s="773" t="s">
        <v>76</v>
      </c>
      <c r="AD165" s="774"/>
      <c r="AE165" s="774"/>
      <c r="AF165" s="775"/>
      <c r="AG165" s="773" t="s">
        <v>249</v>
      </c>
      <c r="AH165" s="774"/>
      <c r="AI165" s="774"/>
      <c r="AJ165" s="775"/>
      <c r="AK165" s="773" t="s">
        <v>77</v>
      </c>
      <c r="AL165" s="774"/>
      <c r="AM165" s="774"/>
      <c r="AN165" s="775"/>
      <c r="AO165" s="773" t="s">
        <v>71</v>
      </c>
      <c r="AP165" s="774"/>
      <c r="AQ165" s="774"/>
      <c r="AR165" s="779"/>
    </row>
    <row r="166" spans="3:44" ht="18" customHeight="1">
      <c r="C166" s="795"/>
      <c r="D166" s="777"/>
      <c r="E166" s="778"/>
      <c r="F166" s="776"/>
      <c r="G166" s="777"/>
      <c r="H166" s="777"/>
      <c r="I166" s="777"/>
      <c r="J166" s="777"/>
      <c r="K166" s="777"/>
      <c r="L166" s="777"/>
      <c r="M166" s="777"/>
      <c r="N166" s="777"/>
      <c r="O166" s="777"/>
      <c r="P166" s="777"/>
      <c r="Q166" s="777"/>
      <c r="R166" s="777"/>
      <c r="S166" s="777"/>
      <c r="T166" s="777"/>
      <c r="U166" s="777"/>
      <c r="V166" s="777"/>
      <c r="W166" s="777"/>
      <c r="X166" s="777"/>
      <c r="Y166" s="777"/>
      <c r="Z166" s="777"/>
      <c r="AA166" s="777"/>
      <c r="AB166" s="778"/>
      <c r="AC166" s="776"/>
      <c r="AD166" s="777"/>
      <c r="AE166" s="777"/>
      <c r="AF166" s="778"/>
      <c r="AG166" s="776"/>
      <c r="AH166" s="777"/>
      <c r="AI166" s="777"/>
      <c r="AJ166" s="778"/>
      <c r="AK166" s="776"/>
      <c r="AL166" s="777"/>
      <c r="AM166" s="777"/>
      <c r="AN166" s="778"/>
      <c r="AO166" s="776"/>
      <c r="AP166" s="777"/>
      <c r="AQ166" s="777"/>
      <c r="AR166" s="780"/>
    </row>
    <row r="167" spans="3:44" ht="18" customHeight="1">
      <c r="C167" s="781" t="s">
        <v>940</v>
      </c>
      <c r="D167" s="782"/>
      <c r="E167" s="783"/>
      <c r="F167" s="493" t="s">
        <v>105</v>
      </c>
      <c r="G167" s="493"/>
      <c r="H167" s="493"/>
      <c r="I167" s="493"/>
      <c r="J167" s="493"/>
      <c r="K167" s="493"/>
      <c r="L167" s="493"/>
      <c r="M167" s="493"/>
      <c r="N167" s="493"/>
      <c r="O167" s="493"/>
      <c r="P167" s="493"/>
      <c r="Q167" s="493"/>
      <c r="R167" s="493"/>
      <c r="S167" s="493"/>
      <c r="T167" s="493"/>
      <c r="U167" s="493"/>
      <c r="V167" s="493"/>
      <c r="W167" s="493"/>
      <c r="X167" s="493"/>
      <c r="Y167" s="493"/>
      <c r="Z167" s="493"/>
      <c r="AA167" s="493"/>
      <c r="AB167" s="493"/>
      <c r="AC167" s="770"/>
      <c r="AD167" s="771"/>
      <c r="AE167" s="771"/>
      <c r="AF167" s="790"/>
      <c r="AG167" s="770">
        <v>2</v>
      </c>
      <c r="AH167" s="771"/>
      <c r="AI167" s="771"/>
      <c r="AJ167" s="790"/>
      <c r="AK167" s="449">
        <f>VLOOKUP(C167,[4]MÃODEOBRA!A$1:D$65536,4,FALSE)</f>
        <v>22.98488</v>
      </c>
      <c r="AL167" s="449"/>
      <c r="AM167" s="449"/>
      <c r="AN167" s="449"/>
      <c r="AO167" s="491">
        <f>ROUND(AG167*AK167,2)</f>
        <v>45.97</v>
      </c>
      <c r="AP167" s="491"/>
      <c r="AQ167" s="491"/>
      <c r="AR167" s="492"/>
    </row>
    <row r="168" spans="3:44" ht="18" customHeight="1">
      <c r="C168" s="758"/>
      <c r="D168" s="759"/>
      <c r="E168" s="760"/>
      <c r="F168" s="493"/>
      <c r="G168" s="493"/>
      <c r="H168" s="493"/>
      <c r="I168" s="493"/>
      <c r="J168" s="493"/>
      <c r="K168" s="493"/>
      <c r="L168" s="493"/>
      <c r="M168" s="493"/>
      <c r="N168" s="493"/>
      <c r="O168" s="493"/>
      <c r="P168" s="493"/>
      <c r="Q168" s="493"/>
      <c r="R168" s="493"/>
      <c r="S168" s="493"/>
      <c r="T168" s="493"/>
      <c r="U168" s="493"/>
      <c r="V168" s="493"/>
      <c r="W168" s="493"/>
      <c r="X168" s="493"/>
      <c r="Y168" s="493"/>
      <c r="Z168" s="493"/>
      <c r="AA168" s="493"/>
      <c r="AB168" s="493"/>
      <c r="AC168" s="740"/>
      <c r="AD168" s="741"/>
      <c r="AE168" s="741"/>
      <c r="AF168" s="757"/>
      <c r="AG168" s="740"/>
      <c r="AH168" s="741"/>
      <c r="AI168" s="741"/>
      <c r="AJ168" s="757"/>
      <c r="AK168" s="449"/>
      <c r="AL168" s="449"/>
      <c r="AM168" s="449"/>
      <c r="AN168" s="449"/>
      <c r="AO168" s="491"/>
      <c r="AP168" s="491"/>
      <c r="AQ168" s="491"/>
      <c r="AR168" s="492"/>
    </row>
    <row r="169" spans="3:44" ht="18" customHeight="1">
      <c r="C169" s="758"/>
      <c r="D169" s="759"/>
      <c r="E169" s="760"/>
      <c r="F169" s="796"/>
      <c r="G169" s="797"/>
      <c r="H169" s="797"/>
      <c r="I169" s="797"/>
      <c r="J169" s="797"/>
      <c r="K169" s="797"/>
      <c r="L169" s="797"/>
      <c r="M169" s="797"/>
      <c r="N169" s="797"/>
      <c r="O169" s="797"/>
      <c r="P169" s="797"/>
      <c r="Q169" s="797"/>
      <c r="R169" s="797"/>
      <c r="S169" s="797"/>
      <c r="T169" s="797"/>
      <c r="U169" s="797"/>
      <c r="V169" s="797"/>
      <c r="W169" s="797"/>
      <c r="X169" s="797"/>
      <c r="Y169" s="797"/>
      <c r="Z169" s="797"/>
      <c r="AA169" s="797"/>
      <c r="AB169" s="798"/>
      <c r="AC169" s="740"/>
      <c r="AD169" s="741"/>
      <c r="AE169" s="741"/>
      <c r="AF169" s="757"/>
      <c r="AG169" s="740"/>
      <c r="AH169" s="741"/>
      <c r="AI169" s="741"/>
      <c r="AJ169" s="757"/>
      <c r="AK169" s="740"/>
      <c r="AL169" s="741"/>
      <c r="AM169" s="741"/>
      <c r="AN169" s="757"/>
      <c r="AO169" s="466"/>
      <c r="AP169" s="467"/>
      <c r="AQ169" s="467"/>
      <c r="AR169" s="823"/>
    </row>
    <row r="170" spans="3:44" ht="18" customHeight="1">
      <c r="C170" s="758"/>
      <c r="D170" s="759"/>
      <c r="E170" s="760"/>
      <c r="F170" s="796"/>
      <c r="G170" s="797"/>
      <c r="H170" s="797"/>
      <c r="I170" s="797"/>
      <c r="J170" s="797"/>
      <c r="K170" s="797"/>
      <c r="L170" s="797"/>
      <c r="M170" s="797"/>
      <c r="N170" s="797"/>
      <c r="O170" s="797"/>
      <c r="P170" s="797"/>
      <c r="Q170" s="797"/>
      <c r="R170" s="797"/>
      <c r="S170" s="797"/>
      <c r="T170" s="797"/>
      <c r="U170" s="797"/>
      <c r="V170" s="797"/>
      <c r="W170" s="797"/>
      <c r="X170" s="797"/>
      <c r="Y170" s="797"/>
      <c r="Z170" s="797"/>
      <c r="AA170" s="797"/>
      <c r="AB170" s="798"/>
      <c r="AC170" s="740"/>
      <c r="AD170" s="741"/>
      <c r="AE170" s="741"/>
      <c r="AF170" s="757"/>
      <c r="AG170" s="740"/>
      <c r="AH170" s="741"/>
      <c r="AI170" s="741"/>
      <c r="AJ170" s="757"/>
      <c r="AK170" s="740"/>
      <c r="AL170" s="741"/>
      <c r="AM170" s="741"/>
      <c r="AN170" s="757"/>
      <c r="AO170" s="466"/>
      <c r="AP170" s="467"/>
      <c r="AQ170" s="467"/>
      <c r="AR170" s="823"/>
    </row>
    <row r="171" spans="3:44" ht="18" customHeight="1">
      <c r="C171" s="758"/>
      <c r="D171" s="759"/>
      <c r="E171" s="760"/>
      <c r="F171" s="796"/>
      <c r="G171" s="797"/>
      <c r="H171" s="797"/>
      <c r="I171" s="797"/>
      <c r="J171" s="797"/>
      <c r="K171" s="797"/>
      <c r="L171" s="797"/>
      <c r="M171" s="797"/>
      <c r="N171" s="797"/>
      <c r="O171" s="797"/>
      <c r="P171" s="797"/>
      <c r="Q171" s="797"/>
      <c r="R171" s="797"/>
      <c r="S171" s="797"/>
      <c r="T171" s="797"/>
      <c r="U171" s="797"/>
      <c r="V171" s="797"/>
      <c r="W171" s="797"/>
      <c r="X171" s="797"/>
      <c r="Y171" s="797"/>
      <c r="Z171" s="797"/>
      <c r="AA171" s="797"/>
      <c r="AB171" s="798"/>
      <c r="AC171" s="740"/>
      <c r="AD171" s="741"/>
      <c r="AE171" s="741"/>
      <c r="AF171" s="757"/>
      <c r="AG171" s="740"/>
      <c r="AH171" s="741"/>
      <c r="AI171" s="741"/>
      <c r="AJ171" s="757"/>
      <c r="AK171" s="740"/>
      <c r="AL171" s="741"/>
      <c r="AM171" s="741"/>
      <c r="AN171" s="757"/>
      <c r="AO171" s="466"/>
      <c r="AP171" s="467"/>
      <c r="AQ171" s="467"/>
      <c r="AR171" s="823"/>
    </row>
    <row r="172" spans="3:44" ht="18" customHeight="1">
      <c r="C172" s="758"/>
      <c r="D172" s="759"/>
      <c r="E172" s="760"/>
      <c r="F172" s="796"/>
      <c r="G172" s="797"/>
      <c r="H172" s="797"/>
      <c r="I172" s="797"/>
      <c r="J172" s="797"/>
      <c r="K172" s="797"/>
      <c r="L172" s="797"/>
      <c r="M172" s="797"/>
      <c r="N172" s="797"/>
      <c r="O172" s="797"/>
      <c r="P172" s="797"/>
      <c r="Q172" s="797"/>
      <c r="R172" s="797"/>
      <c r="S172" s="797"/>
      <c r="T172" s="797"/>
      <c r="U172" s="797"/>
      <c r="V172" s="797"/>
      <c r="W172" s="797"/>
      <c r="X172" s="797"/>
      <c r="Y172" s="797"/>
      <c r="Z172" s="797"/>
      <c r="AA172" s="797"/>
      <c r="AB172" s="798"/>
      <c r="AC172" s="740"/>
      <c r="AD172" s="741"/>
      <c r="AE172" s="741"/>
      <c r="AF172" s="757"/>
      <c r="AG172" s="740"/>
      <c r="AH172" s="741"/>
      <c r="AI172" s="741"/>
      <c r="AJ172" s="757"/>
      <c r="AK172" s="740"/>
      <c r="AL172" s="741"/>
      <c r="AM172" s="741"/>
      <c r="AN172" s="757"/>
      <c r="AO172" s="466"/>
      <c r="AP172" s="467"/>
      <c r="AQ172" s="467"/>
      <c r="AR172" s="823"/>
    </row>
    <row r="173" spans="3:44" ht="18" customHeight="1">
      <c r="C173" s="758"/>
      <c r="D173" s="759"/>
      <c r="E173" s="760"/>
      <c r="F173" s="796"/>
      <c r="G173" s="797"/>
      <c r="H173" s="797"/>
      <c r="I173" s="797"/>
      <c r="J173" s="797"/>
      <c r="K173" s="797"/>
      <c r="L173" s="797"/>
      <c r="M173" s="797"/>
      <c r="N173" s="797"/>
      <c r="O173" s="797"/>
      <c r="P173" s="797"/>
      <c r="Q173" s="797"/>
      <c r="R173" s="797"/>
      <c r="S173" s="797"/>
      <c r="T173" s="797"/>
      <c r="U173" s="797"/>
      <c r="V173" s="797"/>
      <c r="W173" s="797"/>
      <c r="X173" s="797"/>
      <c r="Y173" s="797"/>
      <c r="Z173" s="797"/>
      <c r="AA173" s="797"/>
      <c r="AB173" s="798"/>
      <c r="AC173" s="740"/>
      <c r="AD173" s="741"/>
      <c r="AE173" s="741"/>
      <c r="AF173" s="757"/>
      <c r="AG173" s="740"/>
      <c r="AH173" s="741"/>
      <c r="AI173" s="741"/>
      <c r="AJ173" s="757"/>
      <c r="AK173" s="740"/>
      <c r="AL173" s="741"/>
      <c r="AM173" s="741"/>
      <c r="AN173" s="757"/>
      <c r="AO173" s="466"/>
      <c r="AP173" s="467"/>
      <c r="AQ173" s="467"/>
      <c r="AR173" s="823"/>
    </row>
    <row r="174" spans="3:44" ht="18" customHeight="1">
      <c r="C174" s="758"/>
      <c r="D174" s="759"/>
      <c r="E174" s="760"/>
      <c r="F174" s="796"/>
      <c r="G174" s="797"/>
      <c r="H174" s="797"/>
      <c r="I174" s="797"/>
      <c r="J174" s="797"/>
      <c r="K174" s="797"/>
      <c r="L174" s="797"/>
      <c r="M174" s="797"/>
      <c r="N174" s="797"/>
      <c r="O174" s="797"/>
      <c r="P174" s="797"/>
      <c r="Q174" s="797"/>
      <c r="R174" s="797"/>
      <c r="S174" s="797"/>
      <c r="T174" s="797"/>
      <c r="U174" s="797"/>
      <c r="V174" s="797"/>
      <c r="W174" s="797"/>
      <c r="X174" s="797"/>
      <c r="Y174" s="797"/>
      <c r="Z174" s="797"/>
      <c r="AA174" s="797"/>
      <c r="AB174" s="798"/>
      <c r="AC174" s="740"/>
      <c r="AD174" s="741"/>
      <c r="AE174" s="741"/>
      <c r="AF174" s="757"/>
      <c r="AG174" s="740"/>
      <c r="AH174" s="741"/>
      <c r="AI174" s="741"/>
      <c r="AJ174" s="757"/>
      <c r="AK174" s="740"/>
      <c r="AL174" s="741"/>
      <c r="AM174" s="741"/>
      <c r="AN174" s="757"/>
      <c r="AO174" s="466"/>
      <c r="AP174" s="467"/>
      <c r="AQ174" s="467"/>
      <c r="AR174" s="823"/>
    </row>
    <row r="175" spans="3:44" ht="18" customHeight="1">
      <c r="C175" s="814"/>
      <c r="D175" s="815"/>
      <c r="E175" s="815"/>
      <c r="F175" s="815"/>
      <c r="G175" s="815"/>
      <c r="H175" s="815"/>
      <c r="I175" s="815"/>
      <c r="J175" s="815"/>
      <c r="K175" s="815"/>
      <c r="L175" s="815"/>
      <c r="M175" s="815"/>
      <c r="N175" s="815"/>
      <c r="O175" s="815"/>
      <c r="P175" s="815"/>
      <c r="Q175" s="815"/>
      <c r="R175" s="815"/>
      <c r="S175" s="815"/>
      <c r="T175" s="815"/>
      <c r="U175" s="815"/>
      <c r="V175" s="815"/>
      <c r="W175" s="815"/>
      <c r="X175" s="815"/>
      <c r="Y175" s="816" t="s">
        <v>78</v>
      </c>
      <c r="Z175" s="816"/>
      <c r="AA175" s="816"/>
      <c r="AB175" s="816"/>
      <c r="AC175" s="816"/>
      <c r="AD175" s="816"/>
      <c r="AE175" s="816"/>
      <c r="AF175" s="483"/>
      <c r="AG175" s="817" t="s">
        <v>267</v>
      </c>
      <c r="AH175" s="818"/>
      <c r="AI175" s="818"/>
      <c r="AJ175" s="819"/>
      <c r="AK175" s="466">
        <f>SUM(AO167:AR174)</f>
        <v>45.97</v>
      </c>
      <c r="AL175" s="467"/>
      <c r="AM175" s="467"/>
      <c r="AN175" s="468"/>
      <c r="AO175" s="820">
        <f>ROUND(AG175*AK175,2)</f>
        <v>9.43</v>
      </c>
      <c r="AP175" s="821"/>
      <c r="AQ175" s="821"/>
      <c r="AR175" s="822"/>
    </row>
    <row r="176" spans="3:44" ht="18" customHeight="1">
      <c r="C176" s="743"/>
      <c r="D176" s="744"/>
      <c r="E176" s="744"/>
      <c r="F176" s="744"/>
      <c r="G176" s="744"/>
      <c r="H176" s="744"/>
      <c r="I176" s="744"/>
      <c r="J176" s="744"/>
      <c r="K176" s="744"/>
      <c r="L176" s="744"/>
      <c r="M176" s="744"/>
      <c r="N176" s="744"/>
      <c r="O176" s="744"/>
      <c r="P176" s="744"/>
      <c r="Q176" s="744"/>
      <c r="R176" s="744"/>
      <c r="S176" s="744"/>
      <c r="T176" s="744"/>
      <c r="U176" s="744"/>
      <c r="V176" s="744"/>
      <c r="W176" s="744"/>
      <c r="X176" s="744"/>
      <c r="Y176" s="745" t="s">
        <v>79</v>
      </c>
      <c r="Z176" s="745"/>
      <c r="AA176" s="745"/>
      <c r="AB176" s="745"/>
      <c r="AC176" s="745"/>
      <c r="AD176" s="745"/>
      <c r="AE176" s="745"/>
      <c r="AF176" s="745"/>
      <c r="AG176" s="745"/>
      <c r="AH176" s="745"/>
      <c r="AI176" s="745"/>
      <c r="AJ176" s="745"/>
      <c r="AK176" s="745"/>
      <c r="AL176" s="745"/>
      <c r="AM176" s="745"/>
      <c r="AN176" s="430"/>
      <c r="AO176" s="477">
        <f>SUM(AO167:AR175)</f>
        <v>55.4</v>
      </c>
      <c r="AP176" s="746"/>
      <c r="AQ176" s="746"/>
      <c r="AR176" s="747"/>
    </row>
    <row r="178" spans="3:44" ht="18" customHeight="1">
      <c r="C178" s="802"/>
      <c r="D178" s="803"/>
      <c r="E178" s="803"/>
      <c r="F178" s="803"/>
      <c r="G178" s="803"/>
      <c r="H178" s="803"/>
      <c r="I178" s="803"/>
      <c r="J178" s="803"/>
      <c r="K178" s="803"/>
      <c r="L178" s="803"/>
      <c r="M178" s="803"/>
      <c r="N178" s="803"/>
      <c r="O178" s="803"/>
      <c r="P178" s="803"/>
      <c r="Q178" s="803"/>
      <c r="R178" s="803"/>
      <c r="S178" s="803"/>
      <c r="T178" s="803"/>
      <c r="U178" s="803"/>
      <c r="V178" s="803"/>
      <c r="W178" s="803"/>
      <c r="X178" s="803"/>
      <c r="Y178" s="804" t="s">
        <v>80</v>
      </c>
      <c r="Z178" s="805"/>
      <c r="AA178" s="805"/>
      <c r="AB178" s="805"/>
      <c r="AC178" s="805"/>
      <c r="AD178" s="805"/>
      <c r="AE178" s="805"/>
      <c r="AF178" s="805"/>
      <c r="AG178" s="805"/>
      <c r="AH178" s="805"/>
      <c r="AI178" s="805"/>
      <c r="AJ178" s="805"/>
      <c r="AK178" s="805"/>
      <c r="AL178" s="805"/>
      <c r="AM178" s="805"/>
      <c r="AN178" s="806"/>
      <c r="AO178" s="807">
        <f>AO163+AO176</f>
        <v>55.4</v>
      </c>
      <c r="AP178" s="808"/>
      <c r="AQ178" s="808"/>
      <c r="AR178" s="809"/>
    </row>
    <row r="179" spans="3:44" ht="18" customHeight="1">
      <c r="C179" s="810" t="s">
        <v>81</v>
      </c>
      <c r="D179" s="745"/>
      <c r="E179" s="745"/>
      <c r="F179" s="745"/>
      <c r="G179" s="745"/>
      <c r="H179" s="745"/>
      <c r="I179" s="745"/>
      <c r="J179" s="745"/>
      <c r="K179" s="745"/>
      <c r="L179" s="745"/>
      <c r="M179" s="745"/>
      <c r="N179" s="745"/>
      <c r="O179" s="745"/>
      <c r="P179" s="430"/>
      <c r="Q179" s="477">
        <v>1</v>
      </c>
      <c r="R179" s="746"/>
      <c r="S179" s="746"/>
      <c r="T179" s="746"/>
      <c r="U179" s="746"/>
      <c r="V179" s="745" t="s">
        <v>194</v>
      </c>
      <c r="W179" s="745"/>
      <c r="X179" s="430"/>
      <c r="Y179" s="804" t="s">
        <v>82</v>
      </c>
      <c r="Z179" s="805"/>
      <c r="AA179" s="805"/>
      <c r="AB179" s="805"/>
      <c r="AC179" s="805"/>
      <c r="AD179" s="805"/>
      <c r="AE179" s="805"/>
      <c r="AF179" s="805"/>
      <c r="AG179" s="805"/>
      <c r="AH179" s="805"/>
      <c r="AI179" s="805"/>
      <c r="AJ179" s="805"/>
      <c r="AK179" s="805"/>
      <c r="AL179" s="805"/>
      <c r="AM179" s="805"/>
      <c r="AN179" s="806"/>
      <c r="AO179" s="811">
        <f>ROUND(AO178/Q179,2)</f>
        <v>55.4</v>
      </c>
      <c r="AP179" s="812"/>
      <c r="AQ179" s="812"/>
      <c r="AR179" s="813"/>
    </row>
    <row r="181" spans="3:44" ht="18" customHeight="1">
      <c r="C181" s="794" t="s">
        <v>43</v>
      </c>
      <c r="D181" s="774"/>
      <c r="E181" s="775"/>
      <c r="F181" s="773" t="s">
        <v>83</v>
      </c>
      <c r="G181" s="774"/>
      <c r="H181" s="774"/>
      <c r="I181" s="774"/>
      <c r="J181" s="774"/>
      <c r="K181" s="774"/>
      <c r="L181" s="774"/>
      <c r="M181" s="774"/>
      <c r="N181" s="774"/>
      <c r="O181" s="774"/>
      <c r="P181" s="774"/>
      <c r="Q181" s="774"/>
      <c r="R181" s="774"/>
      <c r="S181" s="774"/>
      <c r="T181" s="774"/>
      <c r="U181" s="774"/>
      <c r="V181" s="774"/>
      <c r="W181" s="774"/>
      <c r="X181" s="774"/>
      <c r="Y181" s="774"/>
      <c r="Z181" s="774"/>
      <c r="AA181" s="774"/>
      <c r="AB181" s="775"/>
      <c r="AC181" s="773" t="s">
        <v>84</v>
      </c>
      <c r="AD181" s="774"/>
      <c r="AE181" s="774"/>
      <c r="AF181" s="775"/>
      <c r="AG181" s="773" t="s">
        <v>85</v>
      </c>
      <c r="AH181" s="774"/>
      <c r="AI181" s="774"/>
      <c r="AJ181" s="775"/>
      <c r="AK181" s="773" t="s">
        <v>86</v>
      </c>
      <c r="AL181" s="774"/>
      <c r="AM181" s="774"/>
      <c r="AN181" s="775"/>
      <c r="AO181" s="773" t="s">
        <v>87</v>
      </c>
      <c r="AP181" s="774"/>
      <c r="AQ181" s="774"/>
      <c r="AR181" s="779"/>
    </row>
    <row r="182" spans="3:44" ht="18" customHeight="1">
      <c r="C182" s="795"/>
      <c r="D182" s="777"/>
      <c r="E182" s="778"/>
      <c r="F182" s="776"/>
      <c r="G182" s="777"/>
      <c r="H182" s="777"/>
      <c r="I182" s="777"/>
      <c r="J182" s="777"/>
      <c r="K182" s="777"/>
      <c r="L182" s="777"/>
      <c r="M182" s="777"/>
      <c r="N182" s="777"/>
      <c r="O182" s="777"/>
      <c r="P182" s="777"/>
      <c r="Q182" s="777"/>
      <c r="R182" s="777"/>
      <c r="S182" s="777"/>
      <c r="T182" s="777"/>
      <c r="U182" s="777"/>
      <c r="V182" s="777"/>
      <c r="W182" s="777"/>
      <c r="X182" s="777"/>
      <c r="Y182" s="777"/>
      <c r="Z182" s="777"/>
      <c r="AA182" s="777"/>
      <c r="AB182" s="778"/>
      <c r="AC182" s="776"/>
      <c r="AD182" s="777"/>
      <c r="AE182" s="777"/>
      <c r="AF182" s="778"/>
      <c r="AG182" s="776"/>
      <c r="AH182" s="777"/>
      <c r="AI182" s="777"/>
      <c r="AJ182" s="778"/>
      <c r="AK182" s="776"/>
      <c r="AL182" s="777"/>
      <c r="AM182" s="777"/>
      <c r="AN182" s="778"/>
      <c r="AO182" s="776"/>
      <c r="AP182" s="777"/>
      <c r="AQ182" s="777"/>
      <c r="AR182" s="780"/>
    </row>
    <row r="183" spans="3:44" ht="18" customHeight="1">
      <c r="C183" s="758" t="s">
        <v>857</v>
      </c>
      <c r="D183" s="759"/>
      <c r="E183" s="760"/>
      <c r="F183" s="796" t="s">
        <v>374</v>
      </c>
      <c r="G183" s="797"/>
      <c r="H183" s="797"/>
      <c r="I183" s="797"/>
      <c r="J183" s="797"/>
      <c r="K183" s="797"/>
      <c r="L183" s="797"/>
      <c r="M183" s="797"/>
      <c r="N183" s="797"/>
      <c r="O183" s="797"/>
      <c r="P183" s="797"/>
      <c r="Q183" s="797"/>
      <c r="R183" s="797"/>
      <c r="S183" s="797"/>
      <c r="T183" s="797"/>
      <c r="U183" s="797"/>
      <c r="V183" s="797"/>
      <c r="W183" s="797"/>
      <c r="X183" s="797"/>
      <c r="Y183" s="797"/>
      <c r="Z183" s="797"/>
      <c r="AA183" s="797"/>
      <c r="AB183" s="798"/>
      <c r="AC183" s="799" t="s">
        <v>245</v>
      </c>
      <c r="AD183" s="800"/>
      <c r="AE183" s="800"/>
      <c r="AF183" s="801"/>
      <c r="AG183" s="466">
        <f>TRUNC(301.73/1.2031,2)</f>
        <v>250.79</v>
      </c>
      <c r="AH183" s="467"/>
      <c r="AI183" s="467"/>
      <c r="AJ183" s="468"/>
      <c r="AK183" s="737">
        <v>4.7E-2</v>
      </c>
      <c r="AL183" s="738"/>
      <c r="AM183" s="738"/>
      <c r="AN183" s="739"/>
      <c r="AO183" s="740">
        <f>ROUND(AG183*AK183,2)</f>
        <v>11.79</v>
      </c>
      <c r="AP183" s="741"/>
      <c r="AQ183" s="741"/>
      <c r="AR183" s="742"/>
    </row>
    <row r="184" spans="3:44" ht="18" customHeight="1">
      <c r="C184" s="758" t="s">
        <v>1377</v>
      </c>
      <c r="D184" s="759"/>
      <c r="E184" s="760"/>
      <c r="F184" s="796" t="s">
        <v>417</v>
      </c>
      <c r="G184" s="797"/>
      <c r="H184" s="797"/>
      <c r="I184" s="797"/>
      <c r="J184" s="797"/>
      <c r="K184" s="797"/>
      <c r="L184" s="797"/>
      <c r="M184" s="797"/>
      <c r="N184" s="797"/>
      <c r="O184" s="797"/>
      <c r="P184" s="797"/>
      <c r="Q184" s="797"/>
      <c r="R184" s="797"/>
      <c r="S184" s="797"/>
      <c r="T184" s="797"/>
      <c r="U184" s="797"/>
      <c r="V184" s="797"/>
      <c r="W184" s="797"/>
      <c r="X184" s="797"/>
      <c r="Y184" s="797"/>
      <c r="Z184" s="797"/>
      <c r="AA184" s="797"/>
      <c r="AB184" s="798"/>
      <c r="AC184" s="799" t="s">
        <v>245</v>
      </c>
      <c r="AD184" s="800"/>
      <c r="AE184" s="800"/>
      <c r="AF184" s="801"/>
      <c r="AG184" s="466">
        <f>TRUNC(373.21/1.2031,2)</f>
        <v>310.2</v>
      </c>
      <c r="AH184" s="467"/>
      <c r="AI184" s="467"/>
      <c r="AJ184" s="468"/>
      <c r="AK184" s="737">
        <v>1.3959999999999999</v>
      </c>
      <c r="AL184" s="738"/>
      <c r="AM184" s="738"/>
      <c r="AN184" s="739"/>
      <c r="AO184" s="740">
        <f>ROUND(AG184*AK184,2)</f>
        <v>433.04</v>
      </c>
      <c r="AP184" s="741"/>
      <c r="AQ184" s="741"/>
      <c r="AR184" s="742"/>
    </row>
    <row r="185" spans="3:44" ht="18" customHeight="1">
      <c r="C185" s="758" t="s">
        <v>1376</v>
      </c>
      <c r="D185" s="759"/>
      <c r="E185" s="760"/>
      <c r="F185" s="796" t="s">
        <v>370</v>
      </c>
      <c r="G185" s="797"/>
      <c r="H185" s="797"/>
      <c r="I185" s="797"/>
      <c r="J185" s="797"/>
      <c r="K185" s="797"/>
      <c r="L185" s="797"/>
      <c r="M185" s="797"/>
      <c r="N185" s="797"/>
      <c r="O185" s="797"/>
      <c r="P185" s="797"/>
      <c r="Q185" s="797"/>
      <c r="R185" s="797"/>
      <c r="S185" s="797"/>
      <c r="T185" s="797"/>
      <c r="U185" s="797"/>
      <c r="V185" s="797"/>
      <c r="W185" s="797"/>
      <c r="X185" s="797"/>
      <c r="Y185" s="797"/>
      <c r="Z185" s="797"/>
      <c r="AA185" s="797"/>
      <c r="AB185" s="798"/>
      <c r="AC185" s="799" t="s">
        <v>309</v>
      </c>
      <c r="AD185" s="800"/>
      <c r="AE185" s="800"/>
      <c r="AF185" s="801"/>
      <c r="AG185" s="466">
        <f>TRUNC(43.8/1.2031,2)</f>
        <v>36.4</v>
      </c>
      <c r="AH185" s="467"/>
      <c r="AI185" s="467"/>
      <c r="AJ185" s="468"/>
      <c r="AK185" s="737">
        <v>13.56</v>
      </c>
      <c r="AL185" s="738"/>
      <c r="AM185" s="738"/>
      <c r="AN185" s="739"/>
      <c r="AO185" s="740">
        <f>ROUND(AG185*AK185,2)</f>
        <v>493.58</v>
      </c>
      <c r="AP185" s="741"/>
      <c r="AQ185" s="741"/>
      <c r="AR185" s="742"/>
    </row>
    <row r="186" spans="3:44" ht="18" customHeight="1">
      <c r="C186" s="758" t="s">
        <v>860</v>
      </c>
      <c r="D186" s="759"/>
      <c r="E186" s="760"/>
      <c r="F186" s="796" t="s">
        <v>418</v>
      </c>
      <c r="G186" s="797"/>
      <c r="H186" s="797"/>
      <c r="I186" s="797"/>
      <c r="J186" s="797"/>
      <c r="K186" s="797"/>
      <c r="L186" s="797"/>
      <c r="M186" s="797"/>
      <c r="N186" s="797"/>
      <c r="O186" s="797"/>
      <c r="P186" s="797"/>
      <c r="Q186" s="797"/>
      <c r="R186" s="797"/>
      <c r="S186" s="797"/>
      <c r="T186" s="797"/>
      <c r="U186" s="797"/>
      <c r="V186" s="797"/>
      <c r="W186" s="797"/>
      <c r="X186" s="797"/>
      <c r="Y186" s="797"/>
      <c r="Z186" s="797"/>
      <c r="AA186" s="797"/>
      <c r="AB186" s="798"/>
      <c r="AC186" s="799" t="s">
        <v>194</v>
      </c>
      <c r="AD186" s="800"/>
      <c r="AE186" s="800"/>
      <c r="AF186" s="801"/>
      <c r="AG186" s="466">
        <f>TRUNC(175.93/1.2031,2)</f>
        <v>146.22999999999999</v>
      </c>
      <c r="AH186" s="467"/>
      <c r="AI186" s="467"/>
      <c r="AJ186" s="468"/>
      <c r="AK186" s="737">
        <v>1</v>
      </c>
      <c r="AL186" s="738"/>
      <c r="AM186" s="738"/>
      <c r="AN186" s="739"/>
      <c r="AO186" s="740">
        <f>ROUND(AG186*AK186,2)</f>
        <v>146.22999999999999</v>
      </c>
      <c r="AP186" s="741"/>
      <c r="AQ186" s="741"/>
      <c r="AR186" s="742"/>
    </row>
    <row r="187" spans="3:44" ht="18" customHeight="1">
      <c r="C187" s="758"/>
      <c r="D187" s="759"/>
      <c r="E187" s="760"/>
      <c r="F187" s="796"/>
      <c r="G187" s="797"/>
      <c r="H187" s="797"/>
      <c r="I187" s="797"/>
      <c r="J187" s="797"/>
      <c r="K187" s="797"/>
      <c r="L187" s="797"/>
      <c r="M187" s="797"/>
      <c r="N187" s="797"/>
      <c r="O187" s="797"/>
      <c r="P187" s="797"/>
      <c r="Q187" s="797"/>
      <c r="R187" s="797"/>
      <c r="S187" s="797"/>
      <c r="T187" s="797"/>
      <c r="U187" s="797"/>
      <c r="V187" s="797"/>
      <c r="W187" s="797"/>
      <c r="X187" s="797"/>
      <c r="Y187" s="797"/>
      <c r="Z187" s="797"/>
      <c r="AA187" s="797"/>
      <c r="AB187" s="798"/>
      <c r="AC187" s="799"/>
      <c r="AD187" s="800"/>
      <c r="AE187" s="800"/>
      <c r="AF187" s="801"/>
      <c r="AG187" s="466"/>
      <c r="AH187" s="467"/>
      <c r="AI187" s="467"/>
      <c r="AJ187" s="468"/>
      <c r="AK187" s="737"/>
      <c r="AL187" s="738"/>
      <c r="AM187" s="738"/>
      <c r="AN187" s="739"/>
      <c r="AO187" s="740"/>
      <c r="AP187" s="741"/>
      <c r="AQ187" s="741"/>
      <c r="AR187" s="742"/>
    </row>
    <row r="188" spans="3:44" ht="18" customHeight="1">
      <c r="C188" s="758"/>
      <c r="D188" s="759"/>
      <c r="E188" s="760"/>
      <c r="F188" s="796"/>
      <c r="G188" s="797"/>
      <c r="H188" s="797"/>
      <c r="I188" s="797"/>
      <c r="J188" s="797"/>
      <c r="K188" s="797"/>
      <c r="L188" s="797"/>
      <c r="M188" s="797"/>
      <c r="N188" s="797"/>
      <c r="O188" s="797"/>
      <c r="P188" s="797"/>
      <c r="Q188" s="797"/>
      <c r="R188" s="797"/>
      <c r="S188" s="797"/>
      <c r="T188" s="797"/>
      <c r="U188" s="797"/>
      <c r="V188" s="797"/>
      <c r="W188" s="797"/>
      <c r="X188" s="797"/>
      <c r="Y188" s="797"/>
      <c r="Z188" s="797"/>
      <c r="AA188" s="797"/>
      <c r="AB188" s="798"/>
      <c r="AC188" s="799"/>
      <c r="AD188" s="800"/>
      <c r="AE188" s="800"/>
      <c r="AF188" s="801"/>
      <c r="AG188" s="466"/>
      <c r="AH188" s="467"/>
      <c r="AI188" s="467"/>
      <c r="AJ188" s="468"/>
      <c r="AK188" s="737"/>
      <c r="AL188" s="738"/>
      <c r="AM188" s="738"/>
      <c r="AN188" s="739"/>
      <c r="AO188" s="740"/>
      <c r="AP188" s="741"/>
      <c r="AQ188" s="741"/>
      <c r="AR188" s="742"/>
    </row>
    <row r="189" spans="3:44" ht="18" customHeight="1">
      <c r="C189" s="758"/>
      <c r="D189" s="759"/>
      <c r="E189" s="760"/>
      <c r="F189" s="796"/>
      <c r="G189" s="797"/>
      <c r="H189" s="797"/>
      <c r="I189" s="797"/>
      <c r="J189" s="797"/>
      <c r="K189" s="797"/>
      <c r="L189" s="797"/>
      <c r="M189" s="797"/>
      <c r="N189" s="797"/>
      <c r="O189" s="797"/>
      <c r="P189" s="797"/>
      <c r="Q189" s="797"/>
      <c r="R189" s="797"/>
      <c r="S189" s="797"/>
      <c r="T189" s="797"/>
      <c r="U189" s="797"/>
      <c r="V189" s="797"/>
      <c r="W189" s="797"/>
      <c r="X189" s="797"/>
      <c r="Y189" s="797"/>
      <c r="Z189" s="797"/>
      <c r="AA189" s="797"/>
      <c r="AB189" s="798"/>
      <c r="AC189" s="799"/>
      <c r="AD189" s="800"/>
      <c r="AE189" s="800"/>
      <c r="AF189" s="801"/>
      <c r="AG189" s="466"/>
      <c r="AH189" s="467"/>
      <c r="AI189" s="467"/>
      <c r="AJ189" s="468"/>
      <c r="AK189" s="737"/>
      <c r="AL189" s="738"/>
      <c r="AM189" s="738"/>
      <c r="AN189" s="739"/>
      <c r="AO189" s="740"/>
      <c r="AP189" s="741"/>
      <c r="AQ189" s="741"/>
      <c r="AR189" s="742"/>
    </row>
    <row r="190" spans="3:44" ht="18" customHeight="1">
      <c r="C190" s="758"/>
      <c r="D190" s="759"/>
      <c r="E190" s="760"/>
      <c r="F190" s="796"/>
      <c r="G190" s="797"/>
      <c r="H190" s="797"/>
      <c r="I190" s="797"/>
      <c r="J190" s="797"/>
      <c r="K190" s="797"/>
      <c r="L190" s="797"/>
      <c r="M190" s="797"/>
      <c r="N190" s="797"/>
      <c r="O190" s="797"/>
      <c r="P190" s="797"/>
      <c r="Q190" s="797"/>
      <c r="R190" s="797"/>
      <c r="S190" s="797"/>
      <c r="T190" s="797"/>
      <c r="U190" s="797"/>
      <c r="V190" s="797"/>
      <c r="W190" s="797"/>
      <c r="X190" s="797"/>
      <c r="Y190" s="797"/>
      <c r="Z190" s="797"/>
      <c r="AA190" s="797"/>
      <c r="AB190" s="798"/>
      <c r="AC190" s="799"/>
      <c r="AD190" s="800"/>
      <c r="AE190" s="800"/>
      <c r="AF190" s="801"/>
      <c r="AG190" s="466"/>
      <c r="AH190" s="467"/>
      <c r="AI190" s="467"/>
      <c r="AJ190" s="468"/>
      <c r="AK190" s="737"/>
      <c r="AL190" s="738"/>
      <c r="AM190" s="738"/>
      <c r="AN190" s="739"/>
      <c r="AO190" s="740"/>
      <c r="AP190" s="741"/>
      <c r="AQ190" s="741"/>
      <c r="AR190" s="742"/>
    </row>
    <row r="191" spans="3:44" ht="18" customHeight="1">
      <c r="C191" s="743"/>
      <c r="D191" s="744"/>
      <c r="E191" s="744"/>
      <c r="F191" s="744"/>
      <c r="G191" s="744"/>
      <c r="H191" s="744"/>
      <c r="I191" s="744"/>
      <c r="J191" s="744"/>
      <c r="K191" s="744"/>
      <c r="L191" s="744"/>
      <c r="M191" s="744"/>
      <c r="N191" s="744"/>
      <c r="O191" s="744"/>
      <c r="P191" s="744"/>
      <c r="Q191" s="744"/>
      <c r="R191" s="744"/>
      <c r="S191" s="744"/>
      <c r="T191" s="744"/>
      <c r="U191" s="744"/>
      <c r="V191" s="744"/>
      <c r="W191" s="744"/>
      <c r="X191" s="744"/>
      <c r="Y191" s="745" t="s">
        <v>88</v>
      </c>
      <c r="Z191" s="745"/>
      <c r="AA191" s="745"/>
      <c r="AB191" s="745"/>
      <c r="AC191" s="745"/>
      <c r="AD191" s="745"/>
      <c r="AE191" s="745"/>
      <c r="AF191" s="745"/>
      <c r="AG191" s="745"/>
      <c r="AH191" s="745"/>
      <c r="AI191" s="745"/>
      <c r="AJ191" s="745"/>
      <c r="AK191" s="745"/>
      <c r="AL191" s="745"/>
      <c r="AM191" s="745"/>
      <c r="AN191" s="430"/>
      <c r="AO191" s="477">
        <f>SUM(AO183:AR190)</f>
        <v>1084.6400000000001</v>
      </c>
      <c r="AP191" s="746"/>
      <c r="AQ191" s="746"/>
      <c r="AR191" s="747"/>
    </row>
    <row r="193" spans="1:44" ht="18" customHeight="1">
      <c r="C193" s="794" t="s">
        <v>43</v>
      </c>
      <c r="D193" s="774"/>
      <c r="E193" s="775"/>
      <c r="F193" s="773" t="s">
        <v>89</v>
      </c>
      <c r="G193" s="774"/>
      <c r="H193" s="774"/>
      <c r="I193" s="774"/>
      <c r="J193" s="774"/>
      <c r="K193" s="774"/>
      <c r="L193" s="774"/>
      <c r="M193" s="774"/>
      <c r="N193" s="774"/>
      <c r="O193" s="774"/>
      <c r="P193" s="774"/>
      <c r="Q193" s="774"/>
      <c r="R193" s="775"/>
      <c r="S193" s="773" t="s">
        <v>90</v>
      </c>
      <c r="T193" s="774"/>
      <c r="U193" s="775"/>
      <c r="V193" s="773" t="s">
        <v>91</v>
      </c>
      <c r="W193" s="774"/>
      <c r="X193" s="775"/>
      <c r="Y193" s="773" t="s">
        <v>92</v>
      </c>
      <c r="Z193" s="774"/>
      <c r="AA193" s="774"/>
      <c r="AB193" s="774"/>
      <c r="AC193" s="774"/>
      <c r="AD193" s="775"/>
      <c r="AE193" s="773" t="s">
        <v>93</v>
      </c>
      <c r="AF193" s="774"/>
      <c r="AG193" s="775"/>
      <c r="AH193" s="773" t="s">
        <v>94</v>
      </c>
      <c r="AI193" s="774"/>
      <c r="AJ193" s="775"/>
      <c r="AK193" s="773" t="s">
        <v>86</v>
      </c>
      <c r="AL193" s="774"/>
      <c r="AM193" s="774"/>
      <c r="AN193" s="775"/>
      <c r="AO193" s="773" t="s">
        <v>87</v>
      </c>
      <c r="AP193" s="774"/>
      <c r="AQ193" s="774"/>
      <c r="AR193" s="779"/>
    </row>
    <row r="194" spans="1:44" ht="18" customHeight="1">
      <c r="C194" s="795"/>
      <c r="D194" s="777"/>
      <c r="E194" s="778"/>
      <c r="F194" s="776"/>
      <c r="G194" s="777"/>
      <c r="H194" s="777"/>
      <c r="I194" s="777"/>
      <c r="J194" s="777"/>
      <c r="K194" s="777"/>
      <c r="L194" s="777"/>
      <c r="M194" s="777"/>
      <c r="N194" s="777"/>
      <c r="O194" s="777"/>
      <c r="P194" s="777"/>
      <c r="Q194" s="777"/>
      <c r="R194" s="778"/>
      <c r="S194" s="776"/>
      <c r="T194" s="777"/>
      <c r="U194" s="778"/>
      <c r="V194" s="776"/>
      <c r="W194" s="777"/>
      <c r="X194" s="778"/>
      <c r="Y194" s="776"/>
      <c r="Z194" s="777"/>
      <c r="AA194" s="777"/>
      <c r="AB194" s="777"/>
      <c r="AC194" s="777"/>
      <c r="AD194" s="778"/>
      <c r="AE194" s="776"/>
      <c r="AF194" s="777"/>
      <c r="AG194" s="778"/>
      <c r="AH194" s="776"/>
      <c r="AI194" s="777"/>
      <c r="AJ194" s="778"/>
      <c r="AK194" s="776"/>
      <c r="AL194" s="777"/>
      <c r="AM194" s="777"/>
      <c r="AN194" s="778"/>
      <c r="AO194" s="776"/>
      <c r="AP194" s="777"/>
      <c r="AQ194" s="777"/>
      <c r="AR194" s="780"/>
    </row>
    <row r="195" spans="1:44" ht="18" customHeight="1">
      <c r="C195" s="781"/>
      <c r="D195" s="782"/>
      <c r="E195" s="783"/>
      <c r="F195" s="457"/>
      <c r="G195" s="457"/>
      <c r="H195" s="457"/>
      <c r="I195" s="457"/>
      <c r="J195" s="457"/>
      <c r="K195" s="457"/>
      <c r="L195" s="457"/>
      <c r="M195" s="457"/>
      <c r="N195" s="457"/>
      <c r="O195" s="457"/>
      <c r="P195" s="457"/>
      <c r="Q195" s="457"/>
      <c r="R195" s="457"/>
      <c r="S195" s="784"/>
      <c r="T195" s="785"/>
      <c r="U195" s="786"/>
      <c r="V195" s="784"/>
      <c r="W195" s="785"/>
      <c r="X195" s="786"/>
      <c r="Y195" s="787"/>
      <c r="Z195" s="788"/>
      <c r="AA195" s="788"/>
      <c r="AB195" s="788"/>
      <c r="AC195" s="788"/>
      <c r="AD195" s="789"/>
      <c r="AE195" s="449"/>
      <c r="AF195" s="449"/>
      <c r="AG195" s="449"/>
      <c r="AH195" s="770"/>
      <c r="AI195" s="771"/>
      <c r="AJ195" s="790"/>
      <c r="AK195" s="791"/>
      <c r="AL195" s="792"/>
      <c r="AM195" s="792"/>
      <c r="AN195" s="793"/>
      <c r="AO195" s="770"/>
      <c r="AP195" s="771"/>
      <c r="AQ195" s="771"/>
      <c r="AR195" s="772"/>
    </row>
    <row r="196" spans="1:44" ht="18" customHeight="1">
      <c r="C196" s="758"/>
      <c r="D196" s="759"/>
      <c r="E196" s="760"/>
      <c r="F196" s="761"/>
      <c r="G196" s="762"/>
      <c r="H196" s="762"/>
      <c r="I196" s="762"/>
      <c r="J196" s="762"/>
      <c r="K196" s="762"/>
      <c r="L196" s="762"/>
      <c r="M196" s="762"/>
      <c r="N196" s="762"/>
      <c r="O196" s="762"/>
      <c r="P196" s="762"/>
      <c r="Q196" s="762"/>
      <c r="R196" s="763"/>
      <c r="S196" s="764"/>
      <c r="T196" s="765"/>
      <c r="U196" s="766"/>
      <c r="V196" s="764"/>
      <c r="W196" s="765"/>
      <c r="X196" s="766"/>
      <c r="Y196" s="767"/>
      <c r="Z196" s="768"/>
      <c r="AA196" s="768"/>
      <c r="AB196" s="768"/>
      <c r="AC196" s="768"/>
      <c r="AD196" s="769"/>
      <c r="AE196" s="740"/>
      <c r="AF196" s="741"/>
      <c r="AG196" s="757"/>
      <c r="AH196" s="740"/>
      <c r="AI196" s="741"/>
      <c r="AJ196" s="757"/>
      <c r="AK196" s="737"/>
      <c r="AL196" s="738"/>
      <c r="AM196" s="738"/>
      <c r="AN196" s="739"/>
      <c r="AO196" s="740">
        <f t="shared" ref="AO196:AO202" si="3">ROUND(AE196*AH196*AK196,2)</f>
        <v>0</v>
      </c>
      <c r="AP196" s="741"/>
      <c r="AQ196" s="741"/>
      <c r="AR196" s="742"/>
    </row>
    <row r="197" spans="1:44" ht="18" customHeight="1">
      <c r="C197" s="758"/>
      <c r="D197" s="759"/>
      <c r="E197" s="760"/>
      <c r="F197" s="761"/>
      <c r="G197" s="762"/>
      <c r="H197" s="762"/>
      <c r="I197" s="762"/>
      <c r="J197" s="762"/>
      <c r="K197" s="762"/>
      <c r="L197" s="762"/>
      <c r="M197" s="762"/>
      <c r="N197" s="762"/>
      <c r="O197" s="762"/>
      <c r="P197" s="762"/>
      <c r="Q197" s="762"/>
      <c r="R197" s="763"/>
      <c r="S197" s="764"/>
      <c r="T197" s="765"/>
      <c r="U197" s="766"/>
      <c r="V197" s="764"/>
      <c r="W197" s="765"/>
      <c r="X197" s="766"/>
      <c r="Y197" s="767"/>
      <c r="Z197" s="768"/>
      <c r="AA197" s="768"/>
      <c r="AB197" s="768"/>
      <c r="AC197" s="768"/>
      <c r="AD197" s="769"/>
      <c r="AE197" s="740"/>
      <c r="AF197" s="741"/>
      <c r="AG197" s="757"/>
      <c r="AH197" s="740"/>
      <c r="AI197" s="741"/>
      <c r="AJ197" s="757"/>
      <c r="AK197" s="737"/>
      <c r="AL197" s="738"/>
      <c r="AM197" s="738"/>
      <c r="AN197" s="739"/>
      <c r="AO197" s="740">
        <f t="shared" si="3"/>
        <v>0</v>
      </c>
      <c r="AP197" s="741"/>
      <c r="AQ197" s="741"/>
      <c r="AR197" s="742"/>
    </row>
    <row r="198" spans="1:44" ht="18" customHeight="1">
      <c r="C198" s="758"/>
      <c r="D198" s="759"/>
      <c r="E198" s="760"/>
      <c r="F198" s="761"/>
      <c r="G198" s="762"/>
      <c r="H198" s="762"/>
      <c r="I198" s="762"/>
      <c r="J198" s="762"/>
      <c r="K198" s="762"/>
      <c r="L198" s="762"/>
      <c r="M198" s="762"/>
      <c r="N198" s="762"/>
      <c r="O198" s="762"/>
      <c r="P198" s="762"/>
      <c r="Q198" s="762"/>
      <c r="R198" s="763"/>
      <c r="S198" s="764"/>
      <c r="T198" s="765"/>
      <c r="U198" s="766"/>
      <c r="V198" s="764"/>
      <c r="W198" s="765"/>
      <c r="X198" s="766"/>
      <c r="Y198" s="767"/>
      <c r="Z198" s="768"/>
      <c r="AA198" s="768"/>
      <c r="AB198" s="768"/>
      <c r="AC198" s="768"/>
      <c r="AD198" s="769"/>
      <c r="AE198" s="740"/>
      <c r="AF198" s="741"/>
      <c r="AG198" s="757"/>
      <c r="AH198" s="740"/>
      <c r="AI198" s="741"/>
      <c r="AJ198" s="757"/>
      <c r="AK198" s="737"/>
      <c r="AL198" s="738"/>
      <c r="AM198" s="738"/>
      <c r="AN198" s="739"/>
      <c r="AO198" s="740">
        <f t="shared" si="3"/>
        <v>0</v>
      </c>
      <c r="AP198" s="741"/>
      <c r="AQ198" s="741"/>
      <c r="AR198" s="742"/>
    </row>
    <row r="199" spans="1:44" ht="18" customHeight="1">
      <c r="C199" s="758"/>
      <c r="D199" s="759"/>
      <c r="E199" s="760"/>
      <c r="F199" s="761"/>
      <c r="G199" s="762"/>
      <c r="H199" s="762"/>
      <c r="I199" s="762"/>
      <c r="J199" s="762"/>
      <c r="K199" s="762"/>
      <c r="L199" s="762"/>
      <c r="M199" s="762"/>
      <c r="N199" s="762"/>
      <c r="O199" s="762"/>
      <c r="P199" s="762"/>
      <c r="Q199" s="762"/>
      <c r="R199" s="763"/>
      <c r="S199" s="764"/>
      <c r="T199" s="765"/>
      <c r="U199" s="766"/>
      <c r="V199" s="764"/>
      <c r="W199" s="765"/>
      <c r="X199" s="766"/>
      <c r="Y199" s="767"/>
      <c r="Z199" s="768"/>
      <c r="AA199" s="768"/>
      <c r="AB199" s="768"/>
      <c r="AC199" s="768"/>
      <c r="AD199" s="769"/>
      <c r="AE199" s="740"/>
      <c r="AF199" s="741"/>
      <c r="AG199" s="757"/>
      <c r="AH199" s="740"/>
      <c r="AI199" s="741"/>
      <c r="AJ199" s="757"/>
      <c r="AK199" s="737"/>
      <c r="AL199" s="738"/>
      <c r="AM199" s="738"/>
      <c r="AN199" s="739"/>
      <c r="AO199" s="740">
        <f t="shared" si="3"/>
        <v>0</v>
      </c>
      <c r="AP199" s="741"/>
      <c r="AQ199" s="741"/>
      <c r="AR199" s="742"/>
    </row>
    <row r="200" spans="1:44" ht="18" customHeight="1">
      <c r="C200" s="758"/>
      <c r="D200" s="759"/>
      <c r="E200" s="760"/>
      <c r="F200" s="761"/>
      <c r="G200" s="762"/>
      <c r="H200" s="762"/>
      <c r="I200" s="762"/>
      <c r="J200" s="762"/>
      <c r="K200" s="762"/>
      <c r="L200" s="762"/>
      <c r="M200" s="762"/>
      <c r="N200" s="762"/>
      <c r="O200" s="762"/>
      <c r="P200" s="762"/>
      <c r="Q200" s="762"/>
      <c r="R200" s="763"/>
      <c r="S200" s="764"/>
      <c r="T200" s="765"/>
      <c r="U200" s="766"/>
      <c r="V200" s="764"/>
      <c r="W200" s="765"/>
      <c r="X200" s="766"/>
      <c r="Y200" s="767"/>
      <c r="Z200" s="768"/>
      <c r="AA200" s="768"/>
      <c r="AB200" s="768"/>
      <c r="AC200" s="768"/>
      <c r="AD200" s="769"/>
      <c r="AE200" s="740"/>
      <c r="AF200" s="741"/>
      <c r="AG200" s="757"/>
      <c r="AH200" s="740"/>
      <c r="AI200" s="741"/>
      <c r="AJ200" s="757"/>
      <c r="AK200" s="737"/>
      <c r="AL200" s="738"/>
      <c r="AM200" s="738"/>
      <c r="AN200" s="739"/>
      <c r="AO200" s="740">
        <f t="shared" si="3"/>
        <v>0</v>
      </c>
      <c r="AP200" s="741"/>
      <c r="AQ200" s="741"/>
      <c r="AR200" s="742"/>
    </row>
    <row r="201" spans="1:44" ht="18" customHeight="1">
      <c r="C201" s="758"/>
      <c r="D201" s="759"/>
      <c r="E201" s="760"/>
      <c r="F201" s="761"/>
      <c r="G201" s="762"/>
      <c r="H201" s="762"/>
      <c r="I201" s="762"/>
      <c r="J201" s="762"/>
      <c r="K201" s="762"/>
      <c r="L201" s="762"/>
      <c r="M201" s="762"/>
      <c r="N201" s="762"/>
      <c r="O201" s="762"/>
      <c r="P201" s="762"/>
      <c r="Q201" s="762"/>
      <c r="R201" s="763"/>
      <c r="S201" s="764"/>
      <c r="T201" s="765"/>
      <c r="U201" s="766"/>
      <c r="V201" s="764"/>
      <c r="W201" s="765"/>
      <c r="X201" s="766"/>
      <c r="Y201" s="767"/>
      <c r="Z201" s="768"/>
      <c r="AA201" s="768"/>
      <c r="AB201" s="768"/>
      <c r="AC201" s="768"/>
      <c r="AD201" s="769"/>
      <c r="AE201" s="740"/>
      <c r="AF201" s="741"/>
      <c r="AG201" s="757"/>
      <c r="AH201" s="740"/>
      <c r="AI201" s="741"/>
      <c r="AJ201" s="757"/>
      <c r="AK201" s="737"/>
      <c r="AL201" s="738"/>
      <c r="AM201" s="738"/>
      <c r="AN201" s="739"/>
      <c r="AO201" s="740">
        <f t="shared" si="3"/>
        <v>0</v>
      </c>
      <c r="AP201" s="741"/>
      <c r="AQ201" s="741"/>
      <c r="AR201" s="742"/>
    </row>
    <row r="202" spans="1:44" ht="18" customHeight="1">
      <c r="C202" s="758"/>
      <c r="D202" s="759"/>
      <c r="E202" s="760"/>
      <c r="F202" s="761"/>
      <c r="G202" s="762"/>
      <c r="H202" s="762"/>
      <c r="I202" s="762"/>
      <c r="J202" s="762"/>
      <c r="K202" s="762"/>
      <c r="L202" s="762"/>
      <c r="M202" s="762"/>
      <c r="N202" s="762"/>
      <c r="O202" s="762"/>
      <c r="P202" s="762"/>
      <c r="Q202" s="762"/>
      <c r="R202" s="763"/>
      <c r="S202" s="764"/>
      <c r="T202" s="765"/>
      <c r="U202" s="766"/>
      <c r="V202" s="764"/>
      <c r="W202" s="765"/>
      <c r="X202" s="766"/>
      <c r="Y202" s="767"/>
      <c r="Z202" s="768"/>
      <c r="AA202" s="768"/>
      <c r="AB202" s="768"/>
      <c r="AC202" s="768"/>
      <c r="AD202" s="769"/>
      <c r="AE202" s="740"/>
      <c r="AF202" s="741"/>
      <c r="AG202" s="757"/>
      <c r="AH202" s="740"/>
      <c r="AI202" s="741"/>
      <c r="AJ202" s="757"/>
      <c r="AK202" s="737"/>
      <c r="AL202" s="738"/>
      <c r="AM202" s="738"/>
      <c r="AN202" s="739"/>
      <c r="AO202" s="740">
        <f t="shared" si="3"/>
        <v>0</v>
      </c>
      <c r="AP202" s="741"/>
      <c r="AQ202" s="741"/>
      <c r="AR202" s="742"/>
    </row>
    <row r="203" spans="1:44" ht="18" customHeight="1">
      <c r="C203" s="743"/>
      <c r="D203" s="744"/>
      <c r="E203" s="744"/>
      <c r="F203" s="744"/>
      <c r="G203" s="744"/>
      <c r="H203" s="744"/>
      <c r="I203" s="744"/>
      <c r="J203" s="744"/>
      <c r="K203" s="744"/>
      <c r="L203" s="744"/>
      <c r="M203" s="744"/>
      <c r="N203" s="744"/>
      <c r="O203" s="744"/>
      <c r="P203" s="744"/>
      <c r="Q203" s="744"/>
      <c r="R203" s="744"/>
      <c r="S203" s="744"/>
      <c r="T203" s="744"/>
      <c r="U203" s="744"/>
      <c r="V203" s="744"/>
      <c r="W203" s="744"/>
      <c r="X203" s="744"/>
      <c r="Y203" s="745" t="s">
        <v>95</v>
      </c>
      <c r="Z203" s="745"/>
      <c r="AA203" s="745"/>
      <c r="AB203" s="745"/>
      <c r="AC203" s="745"/>
      <c r="AD203" s="745"/>
      <c r="AE203" s="745"/>
      <c r="AF203" s="745"/>
      <c r="AG203" s="745"/>
      <c r="AH203" s="745"/>
      <c r="AI203" s="745"/>
      <c r="AJ203" s="745"/>
      <c r="AK203" s="745"/>
      <c r="AL203" s="745"/>
      <c r="AM203" s="745"/>
      <c r="AN203" s="430"/>
      <c r="AO203" s="477">
        <f>SUM(AO195:AR202)</f>
        <v>0</v>
      </c>
      <c r="AP203" s="746"/>
      <c r="AQ203" s="746"/>
      <c r="AR203" s="747"/>
    </row>
    <row r="205" spans="1:44" ht="18" customHeight="1">
      <c r="C205" s="434"/>
      <c r="D205" s="434"/>
      <c r="E205" s="434"/>
      <c r="F205" s="434"/>
      <c r="G205" s="434"/>
      <c r="H205" s="434"/>
      <c r="I205" s="434"/>
      <c r="J205" s="434"/>
      <c r="K205" s="434"/>
      <c r="L205" s="434"/>
      <c r="M205" s="434"/>
      <c r="N205" s="434"/>
      <c r="O205" s="434"/>
      <c r="P205" s="434"/>
      <c r="Q205" s="434"/>
      <c r="R205" s="434"/>
      <c r="S205" s="434"/>
      <c r="T205" s="434"/>
      <c r="U205" s="434"/>
      <c r="V205" s="434"/>
      <c r="W205" s="434"/>
      <c r="X205" s="748"/>
      <c r="Y205" s="749" t="s">
        <v>96</v>
      </c>
      <c r="Z205" s="750"/>
      <c r="AA205" s="750"/>
      <c r="AB205" s="750"/>
      <c r="AC205" s="750"/>
      <c r="AD205" s="750"/>
      <c r="AE205" s="750"/>
      <c r="AF205" s="750"/>
      <c r="AG205" s="750"/>
      <c r="AH205" s="750"/>
      <c r="AI205" s="750"/>
      <c r="AJ205" s="750"/>
      <c r="AK205" s="750"/>
      <c r="AL205" s="750"/>
      <c r="AM205" s="750"/>
      <c r="AN205" s="751"/>
      <c r="AO205" s="752">
        <f>AO179+AO191+AO203</f>
        <v>1140.0400000000002</v>
      </c>
      <c r="AP205" s="753"/>
      <c r="AQ205" s="753"/>
      <c r="AR205" s="754"/>
    </row>
    <row r="206" spans="1:44" ht="18" customHeight="1">
      <c r="C206" s="434"/>
      <c r="D206" s="434"/>
      <c r="E206" s="434"/>
      <c r="F206" s="434"/>
      <c r="G206" s="434"/>
      <c r="H206" s="434"/>
      <c r="I206" s="434"/>
      <c r="J206" s="434"/>
      <c r="K206" s="434"/>
      <c r="L206" s="434"/>
      <c r="M206" s="434"/>
      <c r="N206" s="434"/>
      <c r="O206" s="434"/>
      <c r="P206" s="434"/>
      <c r="Q206" s="434"/>
      <c r="R206" s="434"/>
      <c r="S206" s="434"/>
      <c r="T206" s="434"/>
      <c r="U206" s="434"/>
      <c r="V206" s="434"/>
      <c r="W206" s="434"/>
      <c r="X206" s="748"/>
      <c r="Y206" s="755" t="s">
        <v>97</v>
      </c>
      <c r="Z206" s="756"/>
      <c r="AA206" s="756"/>
      <c r="AB206" s="756"/>
      <c r="AC206" s="756"/>
      <c r="AD206" s="756"/>
      <c r="AE206" s="756"/>
      <c r="AF206" s="756"/>
      <c r="AG206" s="756"/>
      <c r="AH206" s="442">
        <v>0.2031</v>
      </c>
      <c r="AI206" s="442"/>
      <c r="AJ206" s="442"/>
      <c r="AK206" s="442"/>
      <c r="AL206" s="442"/>
      <c r="AM206" s="442"/>
      <c r="AN206" s="443"/>
      <c r="AO206" s="728">
        <f>ROUND(AO205*AH206,2)</f>
        <v>231.54</v>
      </c>
      <c r="AP206" s="729"/>
      <c r="AQ206" s="729"/>
      <c r="AR206" s="730"/>
    </row>
    <row r="207" spans="1:44" ht="18" customHeight="1">
      <c r="A207" s="415" t="s">
        <v>420</v>
      </c>
      <c r="B207" s="415"/>
      <c r="C207" s="434"/>
      <c r="D207" s="434"/>
      <c r="E207" s="434"/>
      <c r="F207" s="434"/>
      <c r="G207" s="434"/>
      <c r="H207" s="434"/>
      <c r="I207" s="434"/>
      <c r="J207" s="434"/>
      <c r="K207" s="434"/>
      <c r="L207" s="434"/>
      <c r="M207" s="434"/>
      <c r="N207" s="434"/>
      <c r="O207" s="434"/>
      <c r="P207" s="434"/>
      <c r="Q207" s="434"/>
      <c r="R207" s="434"/>
      <c r="S207" s="434"/>
      <c r="T207" s="434"/>
      <c r="U207" s="434"/>
      <c r="V207" s="434"/>
      <c r="W207" s="434"/>
      <c r="X207" s="748"/>
      <c r="Y207" s="731" t="s">
        <v>98</v>
      </c>
      <c r="Z207" s="732"/>
      <c r="AA207" s="732"/>
      <c r="AB207" s="732"/>
      <c r="AC207" s="732"/>
      <c r="AD207" s="732"/>
      <c r="AE207" s="732"/>
      <c r="AF207" s="732"/>
      <c r="AG207" s="732"/>
      <c r="AH207" s="732"/>
      <c r="AI207" s="732"/>
      <c r="AJ207" s="732"/>
      <c r="AK207" s="732"/>
      <c r="AL207" s="732"/>
      <c r="AM207" s="732"/>
      <c r="AN207" s="733"/>
      <c r="AO207" s="734">
        <f>SUM(AO205:AR206)</f>
        <v>1371.5800000000002</v>
      </c>
      <c r="AP207" s="735"/>
      <c r="AQ207" s="735"/>
      <c r="AR207" s="736"/>
    </row>
    <row r="209" spans="3:44" ht="18" customHeight="1">
      <c r="C209" s="420" t="s">
        <v>99</v>
      </c>
      <c r="D209" s="421"/>
      <c r="E209" s="421"/>
      <c r="F209" s="421"/>
      <c r="G209" s="421"/>
      <c r="H209" s="421"/>
      <c r="I209" s="422"/>
      <c r="J209" s="422"/>
      <c r="K209" s="422"/>
      <c r="L209" s="422"/>
      <c r="M209" s="422"/>
      <c r="N209" s="422"/>
      <c r="O209" s="422"/>
      <c r="P209" s="422"/>
      <c r="Q209" s="422"/>
      <c r="R209" s="422"/>
      <c r="S209" s="422"/>
      <c r="T209" s="422"/>
      <c r="U209" s="422"/>
      <c r="V209" s="422"/>
      <c r="W209" s="422"/>
      <c r="X209" s="422"/>
      <c r="Y209" s="422"/>
      <c r="Z209" s="422"/>
      <c r="AA209" s="422"/>
      <c r="AB209" s="422"/>
      <c r="AC209" s="422"/>
      <c r="AD209" s="422"/>
      <c r="AE209" s="422"/>
      <c r="AF209" s="422"/>
      <c r="AG209" s="422"/>
      <c r="AH209" s="422"/>
      <c r="AI209" s="422"/>
      <c r="AJ209" s="422"/>
      <c r="AK209" s="422"/>
      <c r="AL209" s="422"/>
      <c r="AM209" s="422"/>
      <c r="AN209" s="422"/>
      <c r="AO209" s="422"/>
      <c r="AP209" s="422"/>
      <c r="AQ209" s="422"/>
      <c r="AR209" s="423"/>
    </row>
    <row r="210" spans="3:44" ht="18" customHeight="1">
      <c r="C210" s="411"/>
      <c r="D210" s="412"/>
      <c r="E210" s="412"/>
      <c r="F210" s="412"/>
      <c r="G210" s="412"/>
      <c r="H210" s="412"/>
      <c r="I210" s="409"/>
      <c r="J210" s="409"/>
      <c r="K210" s="409"/>
      <c r="L210" s="409"/>
      <c r="M210" s="409"/>
      <c r="N210" s="409"/>
      <c r="O210" s="409"/>
      <c r="P210" s="409"/>
      <c r="Q210" s="409"/>
      <c r="R210" s="409"/>
      <c r="S210" s="409"/>
      <c r="T210" s="409"/>
      <c r="U210" s="409"/>
      <c r="V210" s="409"/>
      <c r="W210" s="409"/>
      <c r="X210" s="409"/>
      <c r="Y210" s="409"/>
      <c r="Z210" s="409"/>
      <c r="AA210" s="409"/>
      <c r="AB210" s="409"/>
      <c r="AC210" s="409"/>
      <c r="AD210" s="409"/>
      <c r="AE210" s="409"/>
      <c r="AF210" s="409"/>
      <c r="AG210" s="409"/>
      <c r="AH210" s="409"/>
      <c r="AI210" s="409"/>
      <c r="AJ210" s="409"/>
      <c r="AK210" s="409"/>
      <c r="AL210" s="409"/>
      <c r="AM210" s="409"/>
      <c r="AN210" s="409"/>
      <c r="AO210" s="409"/>
      <c r="AP210" s="409"/>
      <c r="AQ210" s="409"/>
      <c r="AR210" s="410"/>
    </row>
    <row r="211" spans="3:44" ht="18" customHeight="1">
      <c r="C211" s="411"/>
      <c r="D211" s="412"/>
      <c r="E211" s="412"/>
      <c r="F211" s="412"/>
      <c r="G211" s="412"/>
      <c r="H211" s="412"/>
      <c r="I211" s="409"/>
      <c r="J211" s="409"/>
      <c r="K211" s="409"/>
      <c r="L211" s="409"/>
      <c r="M211" s="409"/>
      <c r="N211" s="409"/>
      <c r="O211" s="409"/>
      <c r="P211" s="409"/>
      <c r="Q211" s="409"/>
      <c r="R211" s="409"/>
      <c r="S211" s="409"/>
      <c r="T211" s="409"/>
      <c r="U211" s="409"/>
      <c r="V211" s="409"/>
      <c r="W211" s="409"/>
      <c r="X211" s="409"/>
      <c r="Y211" s="409"/>
      <c r="Z211" s="409"/>
      <c r="AA211" s="409"/>
      <c r="AB211" s="409"/>
      <c r="AC211" s="409"/>
      <c r="AD211" s="409"/>
      <c r="AE211" s="409"/>
      <c r="AF211" s="409"/>
      <c r="AG211" s="409"/>
      <c r="AH211" s="409"/>
      <c r="AI211" s="409"/>
      <c r="AJ211" s="409"/>
      <c r="AK211" s="409"/>
      <c r="AL211" s="409"/>
      <c r="AM211" s="409"/>
      <c r="AN211" s="409"/>
      <c r="AO211" s="409"/>
      <c r="AP211" s="409"/>
      <c r="AQ211" s="409"/>
      <c r="AR211" s="410"/>
    </row>
    <row r="212" spans="3:44" ht="18" customHeight="1">
      <c r="C212" s="411"/>
      <c r="D212" s="412"/>
      <c r="E212" s="412"/>
      <c r="F212" s="412"/>
      <c r="G212" s="412"/>
      <c r="H212" s="412"/>
      <c r="I212" s="409"/>
      <c r="J212" s="409"/>
      <c r="K212" s="409"/>
      <c r="L212" s="409"/>
      <c r="M212" s="409"/>
      <c r="N212" s="409"/>
      <c r="O212" s="409"/>
      <c r="P212" s="409"/>
      <c r="Q212" s="409"/>
      <c r="R212" s="409"/>
      <c r="S212" s="409"/>
      <c r="T212" s="409"/>
      <c r="U212" s="409"/>
      <c r="V212" s="409"/>
      <c r="W212" s="409"/>
      <c r="X212" s="409"/>
      <c r="Y212" s="409"/>
      <c r="Z212" s="409"/>
      <c r="AA212" s="409"/>
      <c r="AB212" s="409"/>
      <c r="AC212" s="409"/>
      <c r="AD212" s="409"/>
      <c r="AE212" s="409"/>
      <c r="AF212" s="409"/>
      <c r="AG212" s="409"/>
      <c r="AH212" s="409"/>
      <c r="AI212" s="409"/>
      <c r="AJ212" s="409"/>
      <c r="AK212" s="409"/>
      <c r="AL212" s="409"/>
      <c r="AM212" s="409"/>
      <c r="AN212" s="409"/>
      <c r="AO212" s="409"/>
      <c r="AP212" s="409"/>
      <c r="AQ212" s="409"/>
      <c r="AR212" s="410"/>
    </row>
    <row r="213" spans="3:44" ht="18" customHeight="1">
      <c r="C213" s="411"/>
      <c r="D213" s="412"/>
      <c r="E213" s="412"/>
      <c r="F213" s="412"/>
      <c r="G213" s="412"/>
      <c r="H213" s="412"/>
      <c r="I213" s="409"/>
      <c r="J213" s="409"/>
      <c r="K213" s="409"/>
      <c r="L213" s="409"/>
      <c r="M213" s="409"/>
      <c r="N213" s="409"/>
      <c r="O213" s="409"/>
      <c r="P213" s="409"/>
      <c r="Q213" s="409"/>
      <c r="R213" s="409"/>
      <c r="S213" s="409"/>
      <c r="T213" s="409"/>
      <c r="U213" s="409"/>
      <c r="V213" s="409"/>
      <c r="W213" s="409"/>
      <c r="X213" s="409"/>
      <c r="Y213" s="409"/>
      <c r="Z213" s="409"/>
      <c r="AA213" s="409"/>
      <c r="AB213" s="409"/>
      <c r="AC213" s="409"/>
      <c r="AD213" s="409"/>
      <c r="AE213" s="409"/>
      <c r="AF213" s="409"/>
      <c r="AG213" s="409"/>
      <c r="AH213" s="409"/>
      <c r="AI213" s="409"/>
      <c r="AJ213" s="409"/>
      <c r="AK213" s="409"/>
      <c r="AL213" s="409"/>
      <c r="AM213" s="409"/>
      <c r="AN213" s="409"/>
      <c r="AO213" s="409"/>
      <c r="AP213" s="409"/>
      <c r="AQ213" s="409"/>
      <c r="AR213" s="410"/>
    </row>
    <row r="214" spans="3:44" ht="18" customHeight="1">
      <c r="C214" s="385"/>
      <c r="D214" s="386"/>
      <c r="E214" s="386"/>
      <c r="F214" s="386"/>
      <c r="G214" s="386"/>
      <c r="H214" s="386"/>
      <c r="I214" s="387"/>
      <c r="J214" s="387"/>
      <c r="K214" s="387"/>
      <c r="L214" s="387"/>
      <c r="M214" s="387"/>
      <c r="N214" s="387"/>
      <c r="O214" s="387"/>
      <c r="P214" s="387"/>
      <c r="Q214" s="387"/>
      <c r="R214" s="387"/>
      <c r="S214" s="387"/>
      <c r="T214" s="387"/>
      <c r="U214" s="387"/>
      <c r="V214" s="387"/>
      <c r="W214" s="387"/>
      <c r="X214" s="387"/>
      <c r="Y214" s="387"/>
      <c r="Z214" s="387"/>
      <c r="AA214" s="387"/>
      <c r="AB214" s="387"/>
      <c r="AC214" s="387"/>
      <c r="AD214" s="387"/>
      <c r="AE214" s="387"/>
      <c r="AF214" s="387"/>
      <c r="AG214" s="387"/>
      <c r="AH214" s="387"/>
      <c r="AI214" s="387"/>
      <c r="AJ214" s="387"/>
      <c r="AK214" s="387"/>
      <c r="AL214" s="387"/>
      <c r="AM214" s="387"/>
      <c r="AN214" s="387"/>
      <c r="AO214" s="387"/>
      <c r="AP214" s="387"/>
      <c r="AQ214" s="387"/>
      <c r="AR214" s="388"/>
    </row>
    <row r="216" spans="3:44" ht="18" customHeight="1">
      <c r="C216" s="389" t="s">
        <v>100</v>
      </c>
      <c r="D216" s="390"/>
      <c r="E216" s="390"/>
      <c r="F216" s="390"/>
      <c r="G216" s="390"/>
      <c r="H216" s="390"/>
      <c r="I216" s="390"/>
      <c r="J216" s="390"/>
      <c r="K216" s="390"/>
      <c r="L216" s="390"/>
      <c r="M216" s="390"/>
      <c r="N216" s="390"/>
      <c r="O216" s="390"/>
      <c r="P216" s="390"/>
      <c r="Q216" s="390"/>
      <c r="R216" s="390"/>
      <c r="S216" s="390"/>
      <c r="T216" s="390"/>
      <c r="U216" s="390"/>
      <c r="V216" s="390"/>
      <c r="W216" s="390"/>
      <c r="X216" s="390"/>
      <c r="Y216" s="390"/>
      <c r="Z216" s="390"/>
      <c r="AA216" s="391"/>
      <c r="AB216" s="392" t="str">
        <f>[4]C.UNIT.SERV.!$E$5</f>
        <v>DATA-BASE:      MAIO/2011/PR</v>
      </c>
      <c r="AC216" s="393"/>
      <c r="AD216" s="393"/>
      <c r="AE216" s="393"/>
      <c r="AF216" s="393"/>
      <c r="AG216" s="393"/>
      <c r="AH216" s="393"/>
      <c r="AI216" s="394"/>
      <c r="AJ216" s="392"/>
      <c r="AK216" s="393"/>
      <c r="AL216" s="393"/>
      <c r="AM216" s="393"/>
      <c r="AN216" s="393"/>
      <c r="AO216" s="393"/>
      <c r="AP216" s="393"/>
      <c r="AQ216" s="393"/>
      <c r="AR216" s="401"/>
    </row>
    <row r="217" spans="3:44" ht="18" customHeight="1">
      <c r="C217" s="404" t="s">
        <v>101</v>
      </c>
      <c r="D217" s="405"/>
      <c r="E217" s="405"/>
      <c r="F217" s="405"/>
      <c r="G217" s="405" t="s">
        <v>283</v>
      </c>
      <c r="H217" s="405"/>
      <c r="I217" s="405"/>
      <c r="J217" s="405"/>
      <c r="K217" s="405"/>
      <c r="L217" s="405"/>
      <c r="M217" s="405"/>
      <c r="N217" s="405"/>
      <c r="O217" s="405"/>
      <c r="P217" s="405"/>
      <c r="Q217" s="405"/>
      <c r="R217" s="405"/>
      <c r="S217" s="405"/>
      <c r="T217" s="405"/>
      <c r="U217" s="405"/>
      <c r="V217" s="405"/>
      <c r="W217" s="405"/>
      <c r="X217" s="405"/>
      <c r="Y217" s="405"/>
      <c r="Z217" s="405"/>
      <c r="AA217" s="406"/>
      <c r="AB217" s="395"/>
      <c r="AC217" s="396"/>
      <c r="AD217" s="396"/>
      <c r="AE217" s="396"/>
      <c r="AF217" s="396"/>
      <c r="AG217" s="396"/>
      <c r="AH217" s="396"/>
      <c r="AI217" s="397"/>
      <c r="AJ217" s="395"/>
      <c r="AK217" s="396"/>
      <c r="AL217" s="396"/>
      <c r="AM217" s="396"/>
      <c r="AN217" s="396"/>
      <c r="AO217" s="396"/>
      <c r="AP217" s="396"/>
      <c r="AQ217" s="396"/>
      <c r="AR217" s="402"/>
    </row>
    <row r="218" spans="3:44" ht="18" customHeight="1">
      <c r="C218" s="404" t="s">
        <v>102</v>
      </c>
      <c r="D218" s="405"/>
      <c r="E218" s="405"/>
      <c r="F218" s="405"/>
      <c r="G218" s="405"/>
      <c r="H218" s="405"/>
      <c r="I218" s="405"/>
      <c r="J218" s="405"/>
      <c r="K218" s="405"/>
      <c r="L218" s="405"/>
      <c r="M218" s="405"/>
      <c r="N218" s="405"/>
      <c r="O218" s="405"/>
      <c r="P218" s="405"/>
      <c r="Q218" s="405"/>
      <c r="R218" s="405"/>
      <c r="S218" s="405"/>
      <c r="T218" s="405"/>
      <c r="U218" s="405"/>
      <c r="V218" s="405"/>
      <c r="W218" s="405"/>
      <c r="X218" s="405"/>
      <c r="Y218" s="405"/>
      <c r="Z218" s="405"/>
      <c r="AA218" s="406"/>
      <c r="AB218" s="395"/>
      <c r="AC218" s="396"/>
      <c r="AD218" s="396"/>
      <c r="AE218" s="396"/>
      <c r="AF218" s="396"/>
      <c r="AG218" s="396"/>
      <c r="AH218" s="396"/>
      <c r="AI218" s="397"/>
      <c r="AJ218" s="395"/>
      <c r="AK218" s="396"/>
      <c r="AL218" s="396"/>
      <c r="AM218" s="396"/>
      <c r="AN218" s="396"/>
      <c r="AO218" s="396"/>
      <c r="AP218" s="396"/>
      <c r="AQ218" s="396"/>
      <c r="AR218" s="402"/>
    </row>
    <row r="219" spans="3:44" ht="18" customHeight="1">
      <c r="C219" s="407"/>
      <c r="D219" s="408"/>
      <c r="E219" s="408"/>
      <c r="F219" s="408"/>
      <c r="G219" s="408"/>
      <c r="H219" s="408"/>
      <c r="I219" s="408"/>
      <c r="J219" s="408"/>
      <c r="K219" s="408"/>
      <c r="L219" s="408"/>
      <c r="M219" s="408"/>
      <c r="N219" s="408"/>
      <c r="O219" s="408"/>
      <c r="P219" s="408"/>
      <c r="Q219" s="408"/>
      <c r="R219" s="408"/>
      <c r="S219" s="408"/>
      <c r="T219" s="408"/>
      <c r="U219" s="408"/>
      <c r="V219" s="408"/>
      <c r="W219" s="408"/>
      <c r="X219" s="408"/>
      <c r="Y219" s="408"/>
      <c r="Z219" s="408"/>
      <c r="AA219" s="408"/>
      <c r="AB219" s="398"/>
      <c r="AC219" s="399"/>
      <c r="AD219" s="399"/>
      <c r="AE219" s="399"/>
      <c r="AF219" s="399"/>
      <c r="AG219" s="399"/>
      <c r="AH219" s="399"/>
      <c r="AI219" s="400"/>
      <c r="AJ219" s="398"/>
      <c r="AK219" s="399"/>
      <c r="AL219" s="399"/>
      <c r="AM219" s="399"/>
      <c r="AN219" s="399"/>
      <c r="AO219" s="399"/>
      <c r="AP219" s="399"/>
      <c r="AQ219" s="399"/>
      <c r="AR219" s="403"/>
    </row>
    <row r="221" spans="3:44" ht="18" customHeight="1">
      <c r="C221" s="850" t="s">
        <v>64</v>
      </c>
      <c r="D221" s="851"/>
      <c r="E221" s="851"/>
      <c r="F221" s="851"/>
      <c r="G221" s="851"/>
      <c r="H221" s="851"/>
      <c r="I221" s="851"/>
      <c r="J221" s="851"/>
      <c r="K221" s="851"/>
      <c r="L221" s="851"/>
      <c r="M221" s="851"/>
      <c r="N221" s="851"/>
      <c r="O221" s="851"/>
      <c r="P221" s="851"/>
      <c r="Q221" s="851"/>
      <c r="R221" s="851"/>
      <c r="S221" s="851"/>
      <c r="T221" s="851"/>
      <c r="U221" s="851"/>
      <c r="V221" s="851"/>
      <c r="W221" s="851"/>
      <c r="X221" s="851"/>
      <c r="Y221" s="851"/>
      <c r="Z221" s="851"/>
      <c r="AA221" s="851"/>
      <c r="AB221" s="851"/>
      <c r="AC221" s="851"/>
      <c r="AD221" s="851"/>
      <c r="AE221" s="851"/>
      <c r="AF221" s="851"/>
      <c r="AG221" s="851"/>
      <c r="AH221" s="851"/>
      <c r="AI221" s="851"/>
      <c r="AJ221" s="851"/>
      <c r="AK221" s="851"/>
      <c r="AL221" s="851"/>
      <c r="AM221" s="851"/>
      <c r="AN221" s="851"/>
      <c r="AO221" s="851"/>
      <c r="AP221" s="851"/>
      <c r="AQ221" s="851"/>
      <c r="AR221" s="852"/>
    </row>
    <row r="222" spans="3:44" ht="18" customHeight="1">
      <c r="C222" s="853"/>
      <c r="D222" s="854"/>
      <c r="E222" s="854"/>
      <c r="F222" s="854"/>
      <c r="G222" s="854"/>
      <c r="H222" s="854"/>
      <c r="I222" s="854"/>
      <c r="J222" s="854"/>
      <c r="K222" s="854"/>
      <c r="L222" s="854"/>
      <c r="M222" s="854"/>
      <c r="N222" s="854"/>
      <c r="O222" s="854"/>
      <c r="P222" s="854"/>
      <c r="Q222" s="854"/>
      <c r="R222" s="854"/>
      <c r="S222" s="854"/>
      <c r="T222" s="854"/>
      <c r="U222" s="854"/>
      <c r="V222" s="854"/>
      <c r="W222" s="854"/>
      <c r="X222" s="854"/>
      <c r="Y222" s="854"/>
      <c r="Z222" s="854"/>
      <c r="AA222" s="854"/>
      <c r="AB222" s="854"/>
      <c r="AC222" s="854"/>
      <c r="AD222" s="854"/>
      <c r="AE222" s="854"/>
      <c r="AF222" s="854"/>
      <c r="AG222" s="854"/>
      <c r="AH222" s="854"/>
      <c r="AI222" s="854"/>
      <c r="AJ222" s="854"/>
      <c r="AK222" s="854"/>
      <c r="AL222" s="854"/>
      <c r="AM222" s="854"/>
      <c r="AN222" s="854"/>
      <c r="AO222" s="854"/>
      <c r="AP222" s="854"/>
      <c r="AQ222" s="854"/>
      <c r="AR222" s="855"/>
    </row>
    <row r="223" spans="3:44" ht="18" customHeight="1">
      <c r="C223" s="856" t="s">
        <v>65</v>
      </c>
      <c r="D223" s="857"/>
      <c r="E223" s="857"/>
      <c r="F223" s="857"/>
      <c r="G223" s="860" t="s">
        <v>422</v>
      </c>
      <c r="H223" s="860"/>
      <c r="I223" s="860"/>
      <c r="J223" s="861"/>
      <c r="K223" s="864" t="s">
        <v>66</v>
      </c>
      <c r="L223" s="865"/>
      <c r="M223" s="865"/>
      <c r="N223" s="865"/>
      <c r="O223" s="526" t="s">
        <v>423</v>
      </c>
      <c r="P223" s="526"/>
      <c r="Q223" s="526"/>
      <c r="R223" s="526"/>
      <c r="S223" s="526"/>
      <c r="T223" s="526"/>
      <c r="U223" s="526"/>
      <c r="V223" s="526"/>
      <c r="W223" s="526"/>
      <c r="X223" s="526"/>
      <c r="Y223" s="526"/>
      <c r="Z223" s="526"/>
      <c r="AA223" s="526"/>
      <c r="AB223" s="526"/>
      <c r="AC223" s="526"/>
      <c r="AD223" s="526"/>
      <c r="AE223" s="526"/>
      <c r="AF223" s="526"/>
      <c r="AG223" s="526"/>
      <c r="AH223" s="526"/>
      <c r="AI223" s="526"/>
      <c r="AJ223" s="526"/>
      <c r="AK223" s="527"/>
      <c r="AL223" s="864" t="s">
        <v>67</v>
      </c>
      <c r="AM223" s="865"/>
      <c r="AN223" s="865"/>
      <c r="AO223" s="865"/>
      <c r="AP223" s="843" t="s">
        <v>194</v>
      </c>
      <c r="AQ223" s="843"/>
      <c r="AR223" s="844"/>
    </row>
    <row r="224" spans="3:44" ht="18" customHeight="1">
      <c r="C224" s="858"/>
      <c r="D224" s="859"/>
      <c r="E224" s="859"/>
      <c r="F224" s="859"/>
      <c r="G224" s="862"/>
      <c r="H224" s="862"/>
      <c r="I224" s="862"/>
      <c r="J224" s="863"/>
      <c r="K224" s="866"/>
      <c r="L224" s="867"/>
      <c r="M224" s="867"/>
      <c r="N224" s="867"/>
      <c r="O224" s="528"/>
      <c r="P224" s="528"/>
      <c r="Q224" s="528"/>
      <c r="R224" s="528"/>
      <c r="S224" s="528"/>
      <c r="T224" s="528"/>
      <c r="U224" s="528"/>
      <c r="V224" s="528"/>
      <c r="W224" s="528"/>
      <c r="X224" s="528"/>
      <c r="Y224" s="528"/>
      <c r="Z224" s="528"/>
      <c r="AA224" s="528"/>
      <c r="AB224" s="528"/>
      <c r="AC224" s="528"/>
      <c r="AD224" s="528"/>
      <c r="AE224" s="528"/>
      <c r="AF224" s="528"/>
      <c r="AG224" s="528"/>
      <c r="AH224" s="528"/>
      <c r="AI224" s="528"/>
      <c r="AJ224" s="528"/>
      <c r="AK224" s="529"/>
      <c r="AL224" s="866"/>
      <c r="AM224" s="867"/>
      <c r="AN224" s="867"/>
      <c r="AO224" s="867"/>
      <c r="AP224" s="845"/>
      <c r="AQ224" s="845"/>
      <c r="AR224" s="846"/>
    </row>
    <row r="226" spans="3:44" ht="18" customHeight="1">
      <c r="C226" s="794" t="s">
        <v>43</v>
      </c>
      <c r="D226" s="774"/>
      <c r="E226" s="775"/>
      <c r="F226" s="773" t="s">
        <v>68</v>
      </c>
      <c r="G226" s="774"/>
      <c r="H226" s="774"/>
      <c r="I226" s="774"/>
      <c r="J226" s="774"/>
      <c r="K226" s="774"/>
      <c r="L226" s="774"/>
      <c r="M226" s="774"/>
      <c r="N226" s="774"/>
      <c r="O226" s="774"/>
      <c r="P226" s="774"/>
      <c r="Q226" s="774"/>
      <c r="R226" s="774"/>
      <c r="S226" s="774"/>
      <c r="T226" s="774"/>
      <c r="U226" s="775"/>
      <c r="V226" s="773" t="s">
        <v>249</v>
      </c>
      <c r="W226" s="774"/>
      <c r="X226" s="775"/>
      <c r="Y226" s="847" t="s">
        <v>69</v>
      </c>
      <c r="Z226" s="848"/>
      <c r="AA226" s="848"/>
      <c r="AB226" s="848"/>
      <c r="AC226" s="848"/>
      <c r="AD226" s="848"/>
      <c r="AE226" s="848"/>
      <c r="AF226" s="849"/>
      <c r="AG226" s="847" t="s">
        <v>70</v>
      </c>
      <c r="AH226" s="848"/>
      <c r="AI226" s="848"/>
      <c r="AJ226" s="848"/>
      <c r="AK226" s="848"/>
      <c r="AL226" s="848"/>
      <c r="AM226" s="848"/>
      <c r="AN226" s="849"/>
      <c r="AO226" s="773" t="s">
        <v>71</v>
      </c>
      <c r="AP226" s="774"/>
      <c r="AQ226" s="774"/>
      <c r="AR226" s="779"/>
    </row>
    <row r="227" spans="3:44" ht="18" customHeight="1">
      <c r="C227" s="795"/>
      <c r="D227" s="777"/>
      <c r="E227" s="778"/>
      <c r="F227" s="776"/>
      <c r="G227" s="777"/>
      <c r="H227" s="777"/>
      <c r="I227" s="777"/>
      <c r="J227" s="777"/>
      <c r="K227" s="777"/>
      <c r="L227" s="777"/>
      <c r="M227" s="777"/>
      <c r="N227" s="777"/>
      <c r="O227" s="777"/>
      <c r="P227" s="777"/>
      <c r="Q227" s="777"/>
      <c r="R227" s="777"/>
      <c r="S227" s="777"/>
      <c r="T227" s="777"/>
      <c r="U227" s="778"/>
      <c r="V227" s="776"/>
      <c r="W227" s="777"/>
      <c r="X227" s="778"/>
      <c r="Y227" s="834" t="s">
        <v>72</v>
      </c>
      <c r="Z227" s="835"/>
      <c r="AA227" s="835"/>
      <c r="AB227" s="836"/>
      <c r="AC227" s="834" t="s">
        <v>73</v>
      </c>
      <c r="AD227" s="835"/>
      <c r="AE227" s="835"/>
      <c r="AF227" s="836"/>
      <c r="AG227" s="834" t="s">
        <v>72</v>
      </c>
      <c r="AH227" s="835"/>
      <c r="AI227" s="835"/>
      <c r="AJ227" s="836"/>
      <c r="AK227" s="834" t="s">
        <v>73</v>
      </c>
      <c r="AL227" s="835"/>
      <c r="AM227" s="835"/>
      <c r="AN227" s="836"/>
      <c r="AO227" s="776"/>
      <c r="AP227" s="777"/>
      <c r="AQ227" s="777"/>
      <c r="AR227" s="780"/>
    </row>
    <row r="228" spans="3:44" ht="18" customHeight="1">
      <c r="C228" s="781"/>
      <c r="D228" s="782"/>
      <c r="E228" s="783"/>
      <c r="F228" s="493"/>
      <c r="G228" s="493"/>
      <c r="H228" s="493"/>
      <c r="I228" s="493"/>
      <c r="J228" s="493"/>
      <c r="K228" s="493"/>
      <c r="L228" s="493"/>
      <c r="M228" s="493"/>
      <c r="N228" s="493"/>
      <c r="O228" s="493"/>
      <c r="P228" s="493"/>
      <c r="Q228" s="493"/>
      <c r="R228" s="493"/>
      <c r="S228" s="493"/>
      <c r="T228" s="493"/>
      <c r="U228" s="493"/>
      <c r="V228" s="837"/>
      <c r="W228" s="838"/>
      <c r="X228" s="839"/>
      <c r="Y228" s="837"/>
      <c r="Z228" s="838"/>
      <c r="AA228" s="838"/>
      <c r="AB228" s="839"/>
      <c r="AC228" s="868"/>
      <c r="AD228" s="869"/>
      <c r="AE228" s="869"/>
      <c r="AF228" s="870"/>
      <c r="AG228" s="491"/>
      <c r="AH228" s="491"/>
      <c r="AI228" s="491"/>
      <c r="AJ228" s="491"/>
      <c r="AK228" s="491"/>
      <c r="AL228" s="491"/>
      <c r="AM228" s="491"/>
      <c r="AN228" s="491"/>
      <c r="AO228" s="491"/>
      <c r="AP228" s="491"/>
      <c r="AQ228" s="491"/>
      <c r="AR228" s="492"/>
    </row>
    <row r="229" spans="3:44" ht="18" customHeight="1">
      <c r="C229" s="758"/>
      <c r="D229" s="759"/>
      <c r="E229" s="760"/>
      <c r="F229" s="493"/>
      <c r="G229" s="493"/>
      <c r="H229" s="493"/>
      <c r="I229" s="493"/>
      <c r="J229" s="493"/>
      <c r="K229" s="493"/>
      <c r="L229" s="493"/>
      <c r="M229" s="493"/>
      <c r="N229" s="493"/>
      <c r="O229" s="493"/>
      <c r="P229" s="493"/>
      <c r="Q229" s="493"/>
      <c r="R229" s="493"/>
      <c r="S229" s="493"/>
      <c r="T229" s="493"/>
      <c r="U229" s="493"/>
      <c r="V229" s="466"/>
      <c r="W229" s="467"/>
      <c r="X229" s="468"/>
      <c r="Y229" s="466"/>
      <c r="Z229" s="467"/>
      <c r="AA229" s="467"/>
      <c r="AB229" s="468"/>
      <c r="AC229" s="828"/>
      <c r="AD229" s="829"/>
      <c r="AE229" s="829"/>
      <c r="AF229" s="830"/>
      <c r="AG229" s="491"/>
      <c r="AH229" s="491"/>
      <c r="AI229" s="491"/>
      <c r="AJ229" s="491"/>
      <c r="AK229" s="491"/>
      <c r="AL229" s="491"/>
      <c r="AM229" s="491"/>
      <c r="AN229" s="491"/>
      <c r="AO229" s="491"/>
      <c r="AP229" s="491"/>
      <c r="AQ229" s="491"/>
      <c r="AR229" s="492"/>
    </row>
    <row r="230" spans="3:44" ht="18" customHeight="1">
      <c r="C230" s="758"/>
      <c r="D230" s="759"/>
      <c r="E230" s="760"/>
      <c r="F230" s="493"/>
      <c r="G230" s="493"/>
      <c r="H230" s="493"/>
      <c r="I230" s="493"/>
      <c r="J230" s="493"/>
      <c r="K230" s="493"/>
      <c r="L230" s="493"/>
      <c r="M230" s="493"/>
      <c r="N230" s="493"/>
      <c r="O230" s="493"/>
      <c r="P230" s="493"/>
      <c r="Q230" s="493"/>
      <c r="R230" s="493"/>
      <c r="S230" s="493"/>
      <c r="T230" s="493"/>
      <c r="U230" s="493"/>
      <c r="V230" s="466"/>
      <c r="W230" s="467"/>
      <c r="X230" s="468"/>
      <c r="Y230" s="466"/>
      <c r="Z230" s="467"/>
      <c r="AA230" s="467"/>
      <c r="AB230" s="468"/>
      <c r="AC230" s="828"/>
      <c r="AD230" s="829"/>
      <c r="AE230" s="829"/>
      <c r="AF230" s="830"/>
      <c r="AG230" s="491"/>
      <c r="AH230" s="491"/>
      <c r="AI230" s="491"/>
      <c r="AJ230" s="491"/>
      <c r="AK230" s="491"/>
      <c r="AL230" s="491"/>
      <c r="AM230" s="491"/>
      <c r="AN230" s="491"/>
      <c r="AO230" s="491"/>
      <c r="AP230" s="491"/>
      <c r="AQ230" s="491"/>
      <c r="AR230" s="492"/>
    </row>
    <row r="231" spans="3:44" ht="18" customHeight="1">
      <c r="C231" s="758"/>
      <c r="D231" s="759"/>
      <c r="E231" s="760"/>
      <c r="F231" s="493"/>
      <c r="G231" s="493"/>
      <c r="H231" s="493"/>
      <c r="I231" s="493"/>
      <c r="J231" s="493"/>
      <c r="K231" s="493"/>
      <c r="L231" s="493"/>
      <c r="M231" s="493"/>
      <c r="N231" s="493"/>
      <c r="O231" s="493"/>
      <c r="P231" s="493"/>
      <c r="Q231" s="493"/>
      <c r="R231" s="493"/>
      <c r="S231" s="493"/>
      <c r="T231" s="493"/>
      <c r="U231" s="493"/>
      <c r="V231" s="466"/>
      <c r="W231" s="467"/>
      <c r="X231" s="468"/>
      <c r="Y231" s="466"/>
      <c r="Z231" s="467"/>
      <c r="AA231" s="467"/>
      <c r="AB231" s="468"/>
      <c r="AC231" s="828"/>
      <c r="AD231" s="829"/>
      <c r="AE231" s="829"/>
      <c r="AF231" s="830"/>
      <c r="AG231" s="491"/>
      <c r="AH231" s="491"/>
      <c r="AI231" s="491"/>
      <c r="AJ231" s="491"/>
      <c r="AK231" s="491"/>
      <c r="AL231" s="491"/>
      <c r="AM231" s="491"/>
      <c r="AN231" s="491"/>
      <c r="AO231" s="491"/>
      <c r="AP231" s="491"/>
      <c r="AQ231" s="491"/>
      <c r="AR231" s="492"/>
    </row>
    <row r="232" spans="3:44" ht="18" customHeight="1">
      <c r="C232" s="758"/>
      <c r="D232" s="759"/>
      <c r="E232" s="760"/>
      <c r="F232" s="493"/>
      <c r="G232" s="493"/>
      <c r="H232" s="493"/>
      <c r="I232" s="493"/>
      <c r="J232" s="493"/>
      <c r="K232" s="493"/>
      <c r="L232" s="493"/>
      <c r="M232" s="493"/>
      <c r="N232" s="493"/>
      <c r="O232" s="493"/>
      <c r="P232" s="493"/>
      <c r="Q232" s="493"/>
      <c r="R232" s="493"/>
      <c r="S232" s="493"/>
      <c r="T232" s="493"/>
      <c r="U232" s="493"/>
      <c r="V232" s="466"/>
      <c r="W232" s="467"/>
      <c r="X232" s="468"/>
      <c r="Y232" s="466"/>
      <c r="Z232" s="467"/>
      <c r="AA232" s="467"/>
      <c r="AB232" s="468"/>
      <c r="AC232" s="828"/>
      <c r="AD232" s="829"/>
      <c r="AE232" s="829"/>
      <c r="AF232" s="830"/>
      <c r="AG232" s="491"/>
      <c r="AH232" s="491"/>
      <c r="AI232" s="491"/>
      <c r="AJ232" s="491"/>
      <c r="AK232" s="491"/>
      <c r="AL232" s="491"/>
      <c r="AM232" s="491"/>
      <c r="AN232" s="491"/>
      <c r="AO232" s="491"/>
      <c r="AP232" s="491"/>
      <c r="AQ232" s="491"/>
      <c r="AR232" s="492"/>
    </row>
    <row r="233" spans="3:44" ht="18" customHeight="1">
      <c r="C233" s="758"/>
      <c r="D233" s="759"/>
      <c r="E233" s="760"/>
      <c r="F233" s="493"/>
      <c r="G233" s="493"/>
      <c r="H233" s="493"/>
      <c r="I233" s="493"/>
      <c r="J233" s="493"/>
      <c r="K233" s="493"/>
      <c r="L233" s="493"/>
      <c r="M233" s="493"/>
      <c r="N233" s="493"/>
      <c r="O233" s="493"/>
      <c r="P233" s="493"/>
      <c r="Q233" s="493"/>
      <c r="R233" s="493"/>
      <c r="S233" s="493"/>
      <c r="T233" s="493"/>
      <c r="U233" s="493"/>
      <c r="V233" s="466"/>
      <c r="W233" s="467"/>
      <c r="X233" s="468"/>
      <c r="Y233" s="466"/>
      <c r="Z233" s="467"/>
      <c r="AA233" s="467"/>
      <c r="AB233" s="468"/>
      <c r="AC233" s="828"/>
      <c r="AD233" s="829"/>
      <c r="AE233" s="829"/>
      <c r="AF233" s="830"/>
      <c r="AG233" s="491"/>
      <c r="AH233" s="491"/>
      <c r="AI233" s="491"/>
      <c r="AJ233" s="491"/>
      <c r="AK233" s="491"/>
      <c r="AL233" s="491"/>
      <c r="AM233" s="491"/>
      <c r="AN233" s="491"/>
      <c r="AO233" s="491"/>
      <c r="AP233" s="491"/>
      <c r="AQ233" s="491"/>
      <c r="AR233" s="492"/>
    </row>
    <row r="234" spans="3:44" ht="18" customHeight="1">
      <c r="C234" s="758"/>
      <c r="D234" s="759"/>
      <c r="E234" s="760"/>
      <c r="F234" s="796"/>
      <c r="G234" s="797"/>
      <c r="H234" s="797"/>
      <c r="I234" s="797"/>
      <c r="J234" s="797"/>
      <c r="K234" s="797"/>
      <c r="L234" s="797"/>
      <c r="M234" s="797"/>
      <c r="N234" s="797"/>
      <c r="O234" s="797"/>
      <c r="P234" s="797"/>
      <c r="Q234" s="797"/>
      <c r="R234" s="797"/>
      <c r="S234" s="797"/>
      <c r="T234" s="797"/>
      <c r="U234" s="798"/>
      <c r="V234" s="466"/>
      <c r="W234" s="467"/>
      <c r="X234" s="468"/>
      <c r="Y234" s="466"/>
      <c r="Z234" s="467"/>
      <c r="AA234" s="467"/>
      <c r="AB234" s="468"/>
      <c r="AC234" s="828"/>
      <c r="AD234" s="829"/>
      <c r="AE234" s="829"/>
      <c r="AF234" s="830"/>
      <c r="AG234" s="466"/>
      <c r="AH234" s="467"/>
      <c r="AI234" s="467"/>
      <c r="AJ234" s="468"/>
      <c r="AK234" s="466"/>
      <c r="AL234" s="467"/>
      <c r="AM234" s="467"/>
      <c r="AN234" s="468"/>
      <c r="AO234" s="466"/>
      <c r="AP234" s="467"/>
      <c r="AQ234" s="467"/>
      <c r="AR234" s="823"/>
    </row>
    <row r="235" spans="3:44" ht="18" customHeight="1">
      <c r="C235" s="758"/>
      <c r="D235" s="759"/>
      <c r="E235" s="760"/>
      <c r="F235" s="796"/>
      <c r="G235" s="797"/>
      <c r="H235" s="797"/>
      <c r="I235" s="797"/>
      <c r="J235" s="797"/>
      <c r="K235" s="797"/>
      <c r="L235" s="797"/>
      <c r="M235" s="797"/>
      <c r="N235" s="797"/>
      <c r="O235" s="797"/>
      <c r="P235" s="797"/>
      <c r="Q235" s="797"/>
      <c r="R235" s="797"/>
      <c r="S235" s="797"/>
      <c r="T235" s="797"/>
      <c r="U235" s="798"/>
      <c r="V235" s="466"/>
      <c r="W235" s="467"/>
      <c r="X235" s="468"/>
      <c r="Y235" s="466"/>
      <c r="Z235" s="467"/>
      <c r="AA235" s="467"/>
      <c r="AB235" s="468"/>
      <c r="AC235" s="828"/>
      <c r="AD235" s="829"/>
      <c r="AE235" s="829"/>
      <c r="AF235" s="830"/>
      <c r="AG235" s="466"/>
      <c r="AH235" s="467"/>
      <c r="AI235" s="467"/>
      <c r="AJ235" s="468"/>
      <c r="AK235" s="466"/>
      <c r="AL235" s="467"/>
      <c r="AM235" s="467"/>
      <c r="AN235" s="468"/>
      <c r="AO235" s="466"/>
      <c r="AP235" s="467"/>
      <c r="AQ235" s="467"/>
      <c r="AR235" s="823"/>
    </row>
    <row r="236" spans="3:44" ht="18" customHeight="1">
      <c r="C236" s="743"/>
      <c r="D236" s="744"/>
      <c r="E236" s="744"/>
      <c r="F236" s="744"/>
      <c r="G236" s="744"/>
      <c r="H236" s="744"/>
      <c r="I236" s="744"/>
      <c r="J236" s="744"/>
      <c r="K236" s="744"/>
      <c r="L236" s="744"/>
      <c r="M236" s="744"/>
      <c r="N236" s="744"/>
      <c r="O236" s="744"/>
      <c r="P236" s="744"/>
      <c r="Q236" s="744"/>
      <c r="R236" s="744"/>
      <c r="S236" s="744"/>
      <c r="T236" s="744"/>
      <c r="U236" s="744"/>
      <c r="V236" s="744"/>
      <c r="W236" s="744"/>
      <c r="X236" s="824"/>
      <c r="Y236" s="825" t="s">
        <v>74</v>
      </c>
      <c r="Z236" s="826"/>
      <c r="AA236" s="826"/>
      <c r="AB236" s="826"/>
      <c r="AC236" s="826"/>
      <c r="AD236" s="826"/>
      <c r="AE236" s="826"/>
      <c r="AF236" s="826"/>
      <c r="AG236" s="826"/>
      <c r="AH236" s="826"/>
      <c r="AI236" s="826"/>
      <c r="AJ236" s="826"/>
      <c r="AK236" s="826"/>
      <c r="AL236" s="826"/>
      <c r="AM236" s="826"/>
      <c r="AN236" s="827"/>
      <c r="AO236" s="477">
        <f>SUM(AO228:AR235)</f>
        <v>0</v>
      </c>
      <c r="AP236" s="746"/>
      <c r="AQ236" s="746"/>
      <c r="AR236" s="747"/>
    </row>
    <row r="238" spans="3:44" ht="18" customHeight="1">
      <c r="C238" s="794" t="s">
        <v>43</v>
      </c>
      <c r="D238" s="774"/>
      <c r="E238" s="775"/>
      <c r="F238" s="773" t="s">
        <v>75</v>
      </c>
      <c r="G238" s="774"/>
      <c r="H238" s="774"/>
      <c r="I238" s="774"/>
      <c r="J238" s="774"/>
      <c r="K238" s="774"/>
      <c r="L238" s="774"/>
      <c r="M238" s="774"/>
      <c r="N238" s="774"/>
      <c r="O238" s="774"/>
      <c r="P238" s="774"/>
      <c r="Q238" s="774"/>
      <c r="R238" s="774"/>
      <c r="S238" s="774"/>
      <c r="T238" s="774"/>
      <c r="U238" s="774"/>
      <c r="V238" s="774"/>
      <c r="W238" s="774"/>
      <c r="X238" s="774"/>
      <c r="Y238" s="774"/>
      <c r="Z238" s="774"/>
      <c r="AA238" s="774"/>
      <c r="AB238" s="775"/>
      <c r="AC238" s="773" t="s">
        <v>76</v>
      </c>
      <c r="AD238" s="774"/>
      <c r="AE238" s="774"/>
      <c r="AF238" s="775"/>
      <c r="AG238" s="773" t="s">
        <v>249</v>
      </c>
      <c r="AH238" s="774"/>
      <c r="AI238" s="774"/>
      <c r="AJ238" s="775"/>
      <c r="AK238" s="773" t="s">
        <v>77</v>
      </c>
      <c r="AL238" s="774"/>
      <c r="AM238" s="774"/>
      <c r="AN238" s="775"/>
      <c r="AO238" s="773" t="s">
        <v>71</v>
      </c>
      <c r="AP238" s="774"/>
      <c r="AQ238" s="774"/>
      <c r="AR238" s="779"/>
    </row>
    <row r="239" spans="3:44" ht="18" customHeight="1">
      <c r="C239" s="795"/>
      <c r="D239" s="777"/>
      <c r="E239" s="778"/>
      <c r="F239" s="776"/>
      <c r="G239" s="777"/>
      <c r="H239" s="777"/>
      <c r="I239" s="777"/>
      <c r="J239" s="777"/>
      <c r="K239" s="777"/>
      <c r="L239" s="777"/>
      <c r="M239" s="777"/>
      <c r="N239" s="777"/>
      <c r="O239" s="777"/>
      <c r="P239" s="777"/>
      <c r="Q239" s="777"/>
      <c r="R239" s="777"/>
      <c r="S239" s="777"/>
      <c r="T239" s="777"/>
      <c r="U239" s="777"/>
      <c r="V239" s="777"/>
      <c r="W239" s="777"/>
      <c r="X239" s="777"/>
      <c r="Y239" s="777"/>
      <c r="Z239" s="777"/>
      <c r="AA239" s="777"/>
      <c r="AB239" s="778"/>
      <c r="AC239" s="776"/>
      <c r="AD239" s="777"/>
      <c r="AE239" s="777"/>
      <c r="AF239" s="778"/>
      <c r="AG239" s="776"/>
      <c r="AH239" s="777"/>
      <c r="AI239" s="777"/>
      <c r="AJ239" s="778"/>
      <c r="AK239" s="776"/>
      <c r="AL239" s="777"/>
      <c r="AM239" s="777"/>
      <c r="AN239" s="778"/>
      <c r="AO239" s="776"/>
      <c r="AP239" s="777"/>
      <c r="AQ239" s="777"/>
      <c r="AR239" s="780"/>
    </row>
    <row r="240" spans="3:44" ht="18" customHeight="1">
      <c r="C240" s="781" t="s">
        <v>940</v>
      </c>
      <c r="D240" s="782"/>
      <c r="E240" s="783"/>
      <c r="F240" s="493" t="s">
        <v>105</v>
      </c>
      <c r="G240" s="493"/>
      <c r="H240" s="493"/>
      <c r="I240" s="493"/>
      <c r="J240" s="493"/>
      <c r="K240" s="493"/>
      <c r="L240" s="493"/>
      <c r="M240" s="493"/>
      <c r="N240" s="493"/>
      <c r="O240" s="493"/>
      <c r="P240" s="493"/>
      <c r="Q240" s="493"/>
      <c r="R240" s="493"/>
      <c r="S240" s="493"/>
      <c r="T240" s="493"/>
      <c r="U240" s="493"/>
      <c r="V240" s="493"/>
      <c r="W240" s="493"/>
      <c r="X240" s="493"/>
      <c r="Y240" s="493"/>
      <c r="Z240" s="493"/>
      <c r="AA240" s="493"/>
      <c r="AB240" s="493"/>
      <c r="AC240" s="770"/>
      <c r="AD240" s="771"/>
      <c r="AE240" s="771"/>
      <c r="AF240" s="790"/>
      <c r="AG240" s="770">
        <v>3</v>
      </c>
      <c r="AH240" s="771"/>
      <c r="AI240" s="771"/>
      <c r="AJ240" s="790"/>
      <c r="AK240" s="449">
        <f>VLOOKUP(C240,[4]MÃODEOBRA!A$1:D$65536,4,FALSE)</f>
        <v>22.98488</v>
      </c>
      <c r="AL240" s="449"/>
      <c r="AM240" s="449"/>
      <c r="AN240" s="449"/>
      <c r="AO240" s="491">
        <f>ROUND(AG240*AK240,2)</f>
        <v>68.95</v>
      </c>
      <c r="AP240" s="491"/>
      <c r="AQ240" s="491"/>
      <c r="AR240" s="492"/>
    </row>
    <row r="241" spans="3:44" ht="18" customHeight="1">
      <c r="C241" s="758"/>
      <c r="D241" s="759"/>
      <c r="E241" s="760"/>
      <c r="F241" s="493"/>
      <c r="G241" s="493"/>
      <c r="H241" s="493"/>
      <c r="I241" s="493"/>
      <c r="J241" s="493"/>
      <c r="K241" s="493"/>
      <c r="L241" s="493"/>
      <c r="M241" s="493"/>
      <c r="N241" s="493"/>
      <c r="O241" s="493"/>
      <c r="P241" s="493"/>
      <c r="Q241" s="493"/>
      <c r="R241" s="493"/>
      <c r="S241" s="493"/>
      <c r="T241" s="493"/>
      <c r="U241" s="493"/>
      <c r="V241" s="493"/>
      <c r="W241" s="493"/>
      <c r="X241" s="493"/>
      <c r="Y241" s="493"/>
      <c r="Z241" s="493"/>
      <c r="AA241" s="493"/>
      <c r="AB241" s="493"/>
      <c r="AC241" s="740"/>
      <c r="AD241" s="741"/>
      <c r="AE241" s="741"/>
      <c r="AF241" s="757"/>
      <c r="AG241" s="740"/>
      <c r="AH241" s="741"/>
      <c r="AI241" s="741"/>
      <c r="AJ241" s="757"/>
      <c r="AK241" s="449"/>
      <c r="AL241" s="449"/>
      <c r="AM241" s="449"/>
      <c r="AN241" s="449"/>
      <c r="AO241" s="491"/>
      <c r="AP241" s="491"/>
      <c r="AQ241" s="491"/>
      <c r="AR241" s="492"/>
    </row>
    <row r="242" spans="3:44" ht="18" customHeight="1">
      <c r="C242" s="758"/>
      <c r="D242" s="759"/>
      <c r="E242" s="760"/>
      <c r="F242" s="796"/>
      <c r="G242" s="797"/>
      <c r="H242" s="797"/>
      <c r="I242" s="797"/>
      <c r="J242" s="797"/>
      <c r="K242" s="797"/>
      <c r="L242" s="797"/>
      <c r="M242" s="797"/>
      <c r="N242" s="797"/>
      <c r="O242" s="797"/>
      <c r="P242" s="797"/>
      <c r="Q242" s="797"/>
      <c r="R242" s="797"/>
      <c r="S242" s="797"/>
      <c r="T242" s="797"/>
      <c r="U242" s="797"/>
      <c r="V242" s="797"/>
      <c r="W242" s="797"/>
      <c r="X242" s="797"/>
      <c r="Y242" s="797"/>
      <c r="Z242" s="797"/>
      <c r="AA242" s="797"/>
      <c r="AB242" s="798"/>
      <c r="AC242" s="740"/>
      <c r="AD242" s="741"/>
      <c r="AE242" s="741"/>
      <c r="AF242" s="757"/>
      <c r="AG242" s="740"/>
      <c r="AH242" s="741"/>
      <c r="AI242" s="741"/>
      <c r="AJ242" s="757"/>
      <c r="AK242" s="740"/>
      <c r="AL242" s="741"/>
      <c r="AM242" s="741"/>
      <c r="AN242" s="757"/>
      <c r="AO242" s="466"/>
      <c r="AP242" s="467"/>
      <c r="AQ242" s="467"/>
      <c r="AR242" s="823"/>
    </row>
    <row r="243" spans="3:44" ht="18" customHeight="1">
      <c r="C243" s="758"/>
      <c r="D243" s="759"/>
      <c r="E243" s="760"/>
      <c r="F243" s="796"/>
      <c r="G243" s="797"/>
      <c r="H243" s="797"/>
      <c r="I243" s="797"/>
      <c r="J243" s="797"/>
      <c r="K243" s="797"/>
      <c r="L243" s="797"/>
      <c r="M243" s="797"/>
      <c r="N243" s="797"/>
      <c r="O243" s="797"/>
      <c r="P243" s="797"/>
      <c r="Q243" s="797"/>
      <c r="R243" s="797"/>
      <c r="S243" s="797"/>
      <c r="T243" s="797"/>
      <c r="U243" s="797"/>
      <c r="V243" s="797"/>
      <c r="W243" s="797"/>
      <c r="X243" s="797"/>
      <c r="Y243" s="797"/>
      <c r="Z243" s="797"/>
      <c r="AA243" s="797"/>
      <c r="AB243" s="798"/>
      <c r="AC243" s="740"/>
      <c r="AD243" s="741"/>
      <c r="AE243" s="741"/>
      <c r="AF243" s="757"/>
      <c r="AG243" s="740"/>
      <c r="AH243" s="741"/>
      <c r="AI243" s="741"/>
      <c r="AJ243" s="757"/>
      <c r="AK243" s="740"/>
      <c r="AL243" s="741"/>
      <c r="AM243" s="741"/>
      <c r="AN243" s="757"/>
      <c r="AO243" s="466"/>
      <c r="AP243" s="467"/>
      <c r="AQ243" s="467"/>
      <c r="AR243" s="823"/>
    </row>
    <row r="244" spans="3:44" ht="18" customHeight="1">
      <c r="C244" s="758"/>
      <c r="D244" s="759"/>
      <c r="E244" s="760"/>
      <c r="F244" s="796"/>
      <c r="G244" s="797"/>
      <c r="H244" s="797"/>
      <c r="I244" s="797"/>
      <c r="J244" s="797"/>
      <c r="K244" s="797"/>
      <c r="L244" s="797"/>
      <c r="M244" s="797"/>
      <c r="N244" s="797"/>
      <c r="O244" s="797"/>
      <c r="P244" s="797"/>
      <c r="Q244" s="797"/>
      <c r="R244" s="797"/>
      <c r="S244" s="797"/>
      <c r="T244" s="797"/>
      <c r="U244" s="797"/>
      <c r="V244" s="797"/>
      <c r="W244" s="797"/>
      <c r="X244" s="797"/>
      <c r="Y244" s="797"/>
      <c r="Z244" s="797"/>
      <c r="AA244" s="797"/>
      <c r="AB244" s="798"/>
      <c r="AC244" s="740"/>
      <c r="AD244" s="741"/>
      <c r="AE244" s="741"/>
      <c r="AF244" s="757"/>
      <c r="AG244" s="740"/>
      <c r="AH244" s="741"/>
      <c r="AI244" s="741"/>
      <c r="AJ244" s="757"/>
      <c r="AK244" s="740"/>
      <c r="AL244" s="741"/>
      <c r="AM244" s="741"/>
      <c r="AN244" s="757"/>
      <c r="AO244" s="466"/>
      <c r="AP244" s="467"/>
      <c r="AQ244" s="467"/>
      <c r="AR244" s="823"/>
    </row>
    <row r="245" spans="3:44" ht="18" customHeight="1">
      <c r="C245" s="758"/>
      <c r="D245" s="759"/>
      <c r="E245" s="760"/>
      <c r="F245" s="796"/>
      <c r="G245" s="797"/>
      <c r="H245" s="797"/>
      <c r="I245" s="797"/>
      <c r="J245" s="797"/>
      <c r="K245" s="797"/>
      <c r="L245" s="797"/>
      <c r="M245" s="797"/>
      <c r="N245" s="797"/>
      <c r="O245" s="797"/>
      <c r="P245" s="797"/>
      <c r="Q245" s="797"/>
      <c r="R245" s="797"/>
      <c r="S245" s="797"/>
      <c r="T245" s="797"/>
      <c r="U245" s="797"/>
      <c r="V245" s="797"/>
      <c r="W245" s="797"/>
      <c r="X245" s="797"/>
      <c r="Y245" s="797"/>
      <c r="Z245" s="797"/>
      <c r="AA245" s="797"/>
      <c r="AB245" s="798"/>
      <c r="AC245" s="740"/>
      <c r="AD245" s="741"/>
      <c r="AE245" s="741"/>
      <c r="AF245" s="757"/>
      <c r="AG245" s="740"/>
      <c r="AH245" s="741"/>
      <c r="AI245" s="741"/>
      <c r="AJ245" s="757"/>
      <c r="AK245" s="740"/>
      <c r="AL245" s="741"/>
      <c r="AM245" s="741"/>
      <c r="AN245" s="757"/>
      <c r="AO245" s="466"/>
      <c r="AP245" s="467"/>
      <c r="AQ245" s="467"/>
      <c r="AR245" s="823"/>
    </row>
    <row r="246" spans="3:44" ht="18" customHeight="1">
      <c r="C246" s="758"/>
      <c r="D246" s="759"/>
      <c r="E246" s="760"/>
      <c r="F246" s="796"/>
      <c r="G246" s="797"/>
      <c r="H246" s="797"/>
      <c r="I246" s="797"/>
      <c r="J246" s="797"/>
      <c r="K246" s="797"/>
      <c r="L246" s="797"/>
      <c r="M246" s="797"/>
      <c r="N246" s="797"/>
      <c r="O246" s="797"/>
      <c r="P246" s="797"/>
      <c r="Q246" s="797"/>
      <c r="R246" s="797"/>
      <c r="S246" s="797"/>
      <c r="T246" s="797"/>
      <c r="U246" s="797"/>
      <c r="V246" s="797"/>
      <c r="W246" s="797"/>
      <c r="X246" s="797"/>
      <c r="Y246" s="797"/>
      <c r="Z246" s="797"/>
      <c r="AA246" s="797"/>
      <c r="AB246" s="798"/>
      <c r="AC246" s="740"/>
      <c r="AD246" s="741"/>
      <c r="AE246" s="741"/>
      <c r="AF246" s="757"/>
      <c r="AG246" s="740"/>
      <c r="AH246" s="741"/>
      <c r="AI246" s="741"/>
      <c r="AJ246" s="757"/>
      <c r="AK246" s="740"/>
      <c r="AL246" s="741"/>
      <c r="AM246" s="741"/>
      <c r="AN246" s="757"/>
      <c r="AO246" s="466"/>
      <c r="AP246" s="467"/>
      <c r="AQ246" s="467"/>
      <c r="AR246" s="823"/>
    </row>
    <row r="247" spans="3:44" ht="18" customHeight="1">
      <c r="C247" s="758"/>
      <c r="D247" s="759"/>
      <c r="E247" s="760"/>
      <c r="F247" s="796"/>
      <c r="G247" s="797"/>
      <c r="H247" s="797"/>
      <c r="I247" s="797"/>
      <c r="J247" s="797"/>
      <c r="K247" s="797"/>
      <c r="L247" s="797"/>
      <c r="M247" s="797"/>
      <c r="N247" s="797"/>
      <c r="O247" s="797"/>
      <c r="P247" s="797"/>
      <c r="Q247" s="797"/>
      <c r="R247" s="797"/>
      <c r="S247" s="797"/>
      <c r="T247" s="797"/>
      <c r="U247" s="797"/>
      <c r="V247" s="797"/>
      <c r="W247" s="797"/>
      <c r="X247" s="797"/>
      <c r="Y247" s="797"/>
      <c r="Z247" s="797"/>
      <c r="AA247" s="797"/>
      <c r="AB247" s="798"/>
      <c r="AC247" s="740"/>
      <c r="AD247" s="741"/>
      <c r="AE247" s="741"/>
      <c r="AF247" s="757"/>
      <c r="AG247" s="740"/>
      <c r="AH247" s="741"/>
      <c r="AI247" s="741"/>
      <c r="AJ247" s="757"/>
      <c r="AK247" s="740"/>
      <c r="AL247" s="741"/>
      <c r="AM247" s="741"/>
      <c r="AN247" s="757"/>
      <c r="AO247" s="466"/>
      <c r="AP247" s="467"/>
      <c r="AQ247" s="467"/>
      <c r="AR247" s="823"/>
    </row>
    <row r="248" spans="3:44" ht="18" customHeight="1">
      <c r="C248" s="814"/>
      <c r="D248" s="815"/>
      <c r="E248" s="815"/>
      <c r="F248" s="815"/>
      <c r="G248" s="815"/>
      <c r="H248" s="815"/>
      <c r="I248" s="815"/>
      <c r="J248" s="815"/>
      <c r="K248" s="815"/>
      <c r="L248" s="815"/>
      <c r="M248" s="815"/>
      <c r="N248" s="815"/>
      <c r="O248" s="815"/>
      <c r="P248" s="815"/>
      <c r="Q248" s="815"/>
      <c r="R248" s="815"/>
      <c r="S248" s="815"/>
      <c r="T248" s="815"/>
      <c r="U248" s="815"/>
      <c r="V248" s="815"/>
      <c r="W248" s="815"/>
      <c r="X248" s="815"/>
      <c r="Y248" s="816" t="s">
        <v>78</v>
      </c>
      <c r="Z248" s="816"/>
      <c r="AA248" s="816"/>
      <c r="AB248" s="816"/>
      <c r="AC248" s="816"/>
      <c r="AD248" s="816"/>
      <c r="AE248" s="816"/>
      <c r="AF248" s="483"/>
      <c r="AG248" s="817" t="s">
        <v>267</v>
      </c>
      <c r="AH248" s="818"/>
      <c r="AI248" s="818"/>
      <c r="AJ248" s="819"/>
      <c r="AK248" s="466">
        <f>SUM(AO240:AR247)</f>
        <v>68.95</v>
      </c>
      <c r="AL248" s="467"/>
      <c r="AM248" s="467"/>
      <c r="AN248" s="468"/>
      <c r="AO248" s="820">
        <f>ROUND(AG248*AK248,2)</f>
        <v>14.14</v>
      </c>
      <c r="AP248" s="821"/>
      <c r="AQ248" s="821"/>
      <c r="AR248" s="822"/>
    </row>
    <row r="249" spans="3:44" ht="18" customHeight="1">
      <c r="C249" s="743"/>
      <c r="D249" s="744"/>
      <c r="E249" s="744"/>
      <c r="F249" s="744"/>
      <c r="G249" s="744"/>
      <c r="H249" s="744"/>
      <c r="I249" s="744"/>
      <c r="J249" s="744"/>
      <c r="K249" s="744"/>
      <c r="L249" s="744"/>
      <c r="M249" s="744"/>
      <c r="N249" s="744"/>
      <c r="O249" s="744"/>
      <c r="P249" s="744"/>
      <c r="Q249" s="744"/>
      <c r="R249" s="744"/>
      <c r="S249" s="744"/>
      <c r="T249" s="744"/>
      <c r="U249" s="744"/>
      <c r="V249" s="744"/>
      <c r="W249" s="744"/>
      <c r="X249" s="744"/>
      <c r="Y249" s="745" t="s">
        <v>79</v>
      </c>
      <c r="Z249" s="745"/>
      <c r="AA249" s="745"/>
      <c r="AB249" s="745"/>
      <c r="AC249" s="745"/>
      <c r="AD249" s="745"/>
      <c r="AE249" s="745"/>
      <c r="AF249" s="745"/>
      <c r="AG249" s="745"/>
      <c r="AH249" s="745"/>
      <c r="AI249" s="745"/>
      <c r="AJ249" s="745"/>
      <c r="AK249" s="745"/>
      <c r="AL249" s="745"/>
      <c r="AM249" s="745"/>
      <c r="AN249" s="430"/>
      <c r="AO249" s="477">
        <f>SUM(AO240:AR248)</f>
        <v>83.09</v>
      </c>
      <c r="AP249" s="746"/>
      <c r="AQ249" s="746"/>
      <c r="AR249" s="747"/>
    </row>
    <row r="251" spans="3:44" ht="18" customHeight="1">
      <c r="C251" s="802"/>
      <c r="D251" s="803"/>
      <c r="E251" s="803"/>
      <c r="F251" s="803"/>
      <c r="G251" s="803"/>
      <c r="H251" s="803"/>
      <c r="I251" s="803"/>
      <c r="J251" s="803"/>
      <c r="K251" s="803"/>
      <c r="L251" s="803"/>
      <c r="M251" s="803"/>
      <c r="N251" s="803"/>
      <c r="O251" s="803"/>
      <c r="P251" s="803"/>
      <c r="Q251" s="803"/>
      <c r="R251" s="803"/>
      <c r="S251" s="803"/>
      <c r="T251" s="803"/>
      <c r="U251" s="803"/>
      <c r="V251" s="803"/>
      <c r="W251" s="803"/>
      <c r="X251" s="803"/>
      <c r="Y251" s="804" t="s">
        <v>80</v>
      </c>
      <c r="Z251" s="805"/>
      <c r="AA251" s="805"/>
      <c r="AB251" s="805"/>
      <c r="AC251" s="805"/>
      <c r="AD251" s="805"/>
      <c r="AE251" s="805"/>
      <c r="AF251" s="805"/>
      <c r="AG251" s="805"/>
      <c r="AH251" s="805"/>
      <c r="AI251" s="805"/>
      <c r="AJ251" s="805"/>
      <c r="AK251" s="805"/>
      <c r="AL251" s="805"/>
      <c r="AM251" s="805"/>
      <c r="AN251" s="806"/>
      <c r="AO251" s="807">
        <f>AO236+AO249</f>
        <v>83.09</v>
      </c>
      <c r="AP251" s="808"/>
      <c r="AQ251" s="808"/>
      <c r="AR251" s="809"/>
    </row>
    <row r="252" spans="3:44" ht="18" customHeight="1">
      <c r="C252" s="810" t="s">
        <v>81</v>
      </c>
      <c r="D252" s="745"/>
      <c r="E252" s="745"/>
      <c r="F252" s="745"/>
      <c r="G252" s="745"/>
      <c r="H252" s="745"/>
      <c r="I252" s="745"/>
      <c r="J252" s="745"/>
      <c r="K252" s="745"/>
      <c r="L252" s="745"/>
      <c r="M252" s="745"/>
      <c r="N252" s="745"/>
      <c r="O252" s="745"/>
      <c r="P252" s="430"/>
      <c r="Q252" s="477">
        <v>1</v>
      </c>
      <c r="R252" s="746"/>
      <c r="S252" s="746"/>
      <c r="T252" s="746"/>
      <c r="U252" s="746"/>
      <c r="V252" s="745" t="s">
        <v>194</v>
      </c>
      <c r="W252" s="745"/>
      <c r="X252" s="430"/>
      <c r="Y252" s="804" t="s">
        <v>82</v>
      </c>
      <c r="Z252" s="805"/>
      <c r="AA252" s="805"/>
      <c r="AB252" s="805"/>
      <c r="AC252" s="805"/>
      <c r="AD252" s="805"/>
      <c r="AE252" s="805"/>
      <c r="AF252" s="805"/>
      <c r="AG252" s="805"/>
      <c r="AH252" s="805"/>
      <c r="AI252" s="805"/>
      <c r="AJ252" s="805"/>
      <c r="AK252" s="805"/>
      <c r="AL252" s="805"/>
      <c r="AM252" s="805"/>
      <c r="AN252" s="806"/>
      <c r="AO252" s="811">
        <f>ROUND(AO251/Q252,2)</f>
        <v>83.09</v>
      </c>
      <c r="AP252" s="812"/>
      <c r="AQ252" s="812"/>
      <c r="AR252" s="813"/>
    </row>
    <row r="254" spans="3:44" ht="18" customHeight="1">
      <c r="C254" s="794" t="s">
        <v>43</v>
      </c>
      <c r="D254" s="774"/>
      <c r="E254" s="775"/>
      <c r="F254" s="773" t="s">
        <v>83</v>
      </c>
      <c r="G254" s="774"/>
      <c r="H254" s="774"/>
      <c r="I254" s="774"/>
      <c r="J254" s="774"/>
      <c r="K254" s="774"/>
      <c r="L254" s="774"/>
      <c r="M254" s="774"/>
      <c r="N254" s="774"/>
      <c r="O254" s="774"/>
      <c r="P254" s="774"/>
      <c r="Q254" s="774"/>
      <c r="R254" s="774"/>
      <c r="S254" s="774"/>
      <c r="T254" s="774"/>
      <c r="U254" s="774"/>
      <c r="V254" s="774"/>
      <c r="W254" s="774"/>
      <c r="X254" s="774"/>
      <c r="Y254" s="774"/>
      <c r="Z254" s="774"/>
      <c r="AA254" s="774"/>
      <c r="AB254" s="775"/>
      <c r="AC254" s="773" t="s">
        <v>84</v>
      </c>
      <c r="AD254" s="774"/>
      <c r="AE254" s="774"/>
      <c r="AF254" s="775"/>
      <c r="AG254" s="773" t="s">
        <v>85</v>
      </c>
      <c r="AH254" s="774"/>
      <c r="AI254" s="774"/>
      <c r="AJ254" s="775"/>
      <c r="AK254" s="773" t="s">
        <v>86</v>
      </c>
      <c r="AL254" s="774"/>
      <c r="AM254" s="774"/>
      <c r="AN254" s="775"/>
      <c r="AO254" s="773" t="s">
        <v>87</v>
      </c>
      <c r="AP254" s="774"/>
      <c r="AQ254" s="774"/>
      <c r="AR254" s="779"/>
    </row>
    <row r="255" spans="3:44" ht="18" customHeight="1">
      <c r="C255" s="795"/>
      <c r="D255" s="777"/>
      <c r="E255" s="778"/>
      <c r="F255" s="776"/>
      <c r="G255" s="777"/>
      <c r="H255" s="777"/>
      <c r="I255" s="777"/>
      <c r="J255" s="777"/>
      <c r="K255" s="777"/>
      <c r="L255" s="777"/>
      <c r="M255" s="777"/>
      <c r="N255" s="777"/>
      <c r="O255" s="777"/>
      <c r="P255" s="777"/>
      <c r="Q255" s="777"/>
      <c r="R255" s="777"/>
      <c r="S255" s="777"/>
      <c r="T255" s="777"/>
      <c r="U255" s="777"/>
      <c r="V255" s="777"/>
      <c r="W255" s="777"/>
      <c r="X255" s="777"/>
      <c r="Y255" s="777"/>
      <c r="Z255" s="777"/>
      <c r="AA255" s="777"/>
      <c r="AB255" s="778"/>
      <c r="AC255" s="776"/>
      <c r="AD255" s="777"/>
      <c r="AE255" s="777"/>
      <c r="AF255" s="778"/>
      <c r="AG255" s="776"/>
      <c r="AH255" s="777"/>
      <c r="AI255" s="777"/>
      <c r="AJ255" s="778"/>
      <c r="AK255" s="776"/>
      <c r="AL255" s="777"/>
      <c r="AM255" s="777"/>
      <c r="AN255" s="778"/>
      <c r="AO255" s="776"/>
      <c r="AP255" s="777"/>
      <c r="AQ255" s="777"/>
      <c r="AR255" s="780"/>
    </row>
    <row r="256" spans="3:44" ht="18" customHeight="1">
      <c r="C256" s="758" t="s">
        <v>857</v>
      </c>
      <c r="D256" s="759"/>
      <c r="E256" s="760"/>
      <c r="F256" s="796" t="s">
        <v>374</v>
      </c>
      <c r="G256" s="797"/>
      <c r="H256" s="797"/>
      <c r="I256" s="797"/>
      <c r="J256" s="797"/>
      <c r="K256" s="797"/>
      <c r="L256" s="797"/>
      <c r="M256" s="797"/>
      <c r="N256" s="797"/>
      <c r="O256" s="797"/>
      <c r="P256" s="797"/>
      <c r="Q256" s="797"/>
      <c r="R256" s="797"/>
      <c r="S256" s="797"/>
      <c r="T256" s="797"/>
      <c r="U256" s="797"/>
      <c r="V256" s="797"/>
      <c r="W256" s="797"/>
      <c r="X256" s="797"/>
      <c r="Y256" s="797"/>
      <c r="Z256" s="797"/>
      <c r="AA256" s="797"/>
      <c r="AB256" s="798"/>
      <c r="AC256" s="799" t="s">
        <v>245</v>
      </c>
      <c r="AD256" s="800"/>
      <c r="AE256" s="800"/>
      <c r="AF256" s="801"/>
      <c r="AG256" s="466">
        <f>TRUNC(301.73/1.2031,2)</f>
        <v>250.79</v>
      </c>
      <c r="AH256" s="467"/>
      <c r="AI256" s="467"/>
      <c r="AJ256" s="468"/>
      <c r="AK256" s="737">
        <v>4.7E-2</v>
      </c>
      <c r="AL256" s="738"/>
      <c r="AM256" s="738"/>
      <c r="AN256" s="739"/>
      <c r="AO256" s="740">
        <f>ROUND(AG256*AK256,2)</f>
        <v>11.79</v>
      </c>
      <c r="AP256" s="741"/>
      <c r="AQ256" s="741"/>
      <c r="AR256" s="742"/>
    </row>
    <row r="257" spans="3:44" ht="18" customHeight="1">
      <c r="C257" s="758" t="s">
        <v>1377</v>
      </c>
      <c r="D257" s="759"/>
      <c r="E257" s="760"/>
      <c r="F257" s="796" t="s">
        <v>417</v>
      </c>
      <c r="G257" s="797"/>
      <c r="H257" s="797"/>
      <c r="I257" s="797"/>
      <c r="J257" s="797"/>
      <c r="K257" s="797"/>
      <c r="L257" s="797"/>
      <c r="M257" s="797"/>
      <c r="N257" s="797"/>
      <c r="O257" s="797"/>
      <c r="P257" s="797"/>
      <c r="Q257" s="797"/>
      <c r="R257" s="797"/>
      <c r="S257" s="797"/>
      <c r="T257" s="797"/>
      <c r="U257" s="797"/>
      <c r="V257" s="797"/>
      <c r="W257" s="797"/>
      <c r="X257" s="797"/>
      <c r="Y257" s="797"/>
      <c r="Z257" s="797"/>
      <c r="AA257" s="797"/>
      <c r="AB257" s="798"/>
      <c r="AC257" s="799" t="s">
        <v>245</v>
      </c>
      <c r="AD257" s="800"/>
      <c r="AE257" s="800"/>
      <c r="AF257" s="801"/>
      <c r="AG257" s="466">
        <f>TRUNC(373.21/1.2031,2)</f>
        <v>310.2</v>
      </c>
      <c r="AH257" s="467"/>
      <c r="AI257" s="467"/>
      <c r="AJ257" s="468"/>
      <c r="AK257" s="737">
        <v>1.825</v>
      </c>
      <c r="AL257" s="738"/>
      <c r="AM257" s="738"/>
      <c r="AN257" s="739"/>
      <c r="AO257" s="740">
        <f>ROUND(AG257*AK257,2)</f>
        <v>566.12</v>
      </c>
      <c r="AP257" s="741"/>
      <c r="AQ257" s="741"/>
      <c r="AR257" s="742"/>
    </row>
    <row r="258" spans="3:44" ht="18" customHeight="1">
      <c r="C258" s="758" t="s">
        <v>1376</v>
      </c>
      <c r="D258" s="759"/>
      <c r="E258" s="760"/>
      <c r="F258" s="796" t="s">
        <v>370</v>
      </c>
      <c r="G258" s="797"/>
      <c r="H258" s="797"/>
      <c r="I258" s="797"/>
      <c r="J258" s="797"/>
      <c r="K258" s="797"/>
      <c r="L258" s="797"/>
      <c r="M258" s="797"/>
      <c r="N258" s="797"/>
      <c r="O258" s="797"/>
      <c r="P258" s="797"/>
      <c r="Q258" s="797"/>
      <c r="R258" s="797"/>
      <c r="S258" s="797"/>
      <c r="T258" s="797"/>
      <c r="U258" s="797"/>
      <c r="V258" s="797"/>
      <c r="W258" s="797"/>
      <c r="X258" s="797"/>
      <c r="Y258" s="797"/>
      <c r="Z258" s="797"/>
      <c r="AA258" s="797"/>
      <c r="AB258" s="798"/>
      <c r="AC258" s="799" t="s">
        <v>309</v>
      </c>
      <c r="AD258" s="800"/>
      <c r="AE258" s="800"/>
      <c r="AF258" s="801"/>
      <c r="AG258" s="466">
        <f>TRUNC(43.8/1.2031,2)</f>
        <v>36.4</v>
      </c>
      <c r="AH258" s="467"/>
      <c r="AI258" s="467"/>
      <c r="AJ258" s="468"/>
      <c r="AK258" s="737">
        <v>18.079999999999998</v>
      </c>
      <c r="AL258" s="738"/>
      <c r="AM258" s="738"/>
      <c r="AN258" s="739"/>
      <c r="AO258" s="740">
        <f>ROUND(AG258*AK258,2)</f>
        <v>658.11</v>
      </c>
      <c r="AP258" s="741"/>
      <c r="AQ258" s="741"/>
      <c r="AR258" s="742"/>
    </row>
    <row r="259" spans="3:44" ht="18" customHeight="1">
      <c r="C259" s="758" t="s">
        <v>860</v>
      </c>
      <c r="D259" s="759"/>
      <c r="E259" s="760"/>
      <c r="F259" s="796" t="s">
        <v>418</v>
      </c>
      <c r="G259" s="797"/>
      <c r="H259" s="797"/>
      <c r="I259" s="797"/>
      <c r="J259" s="797"/>
      <c r="K259" s="797"/>
      <c r="L259" s="797"/>
      <c r="M259" s="797"/>
      <c r="N259" s="797"/>
      <c r="O259" s="797"/>
      <c r="P259" s="797"/>
      <c r="Q259" s="797"/>
      <c r="R259" s="797"/>
      <c r="S259" s="797"/>
      <c r="T259" s="797"/>
      <c r="U259" s="797"/>
      <c r="V259" s="797"/>
      <c r="W259" s="797"/>
      <c r="X259" s="797"/>
      <c r="Y259" s="797"/>
      <c r="Z259" s="797"/>
      <c r="AA259" s="797"/>
      <c r="AB259" s="798"/>
      <c r="AC259" s="799" t="s">
        <v>194</v>
      </c>
      <c r="AD259" s="800"/>
      <c r="AE259" s="800"/>
      <c r="AF259" s="801"/>
      <c r="AG259" s="466">
        <f>TRUNC(175.93/1.2031,2)</f>
        <v>146.22999999999999</v>
      </c>
      <c r="AH259" s="467"/>
      <c r="AI259" s="467"/>
      <c r="AJ259" s="468"/>
      <c r="AK259" s="737">
        <v>1</v>
      </c>
      <c r="AL259" s="738"/>
      <c r="AM259" s="738"/>
      <c r="AN259" s="739"/>
      <c r="AO259" s="740">
        <f>ROUND(AG259*AK259,2)</f>
        <v>146.22999999999999</v>
      </c>
      <c r="AP259" s="741"/>
      <c r="AQ259" s="741"/>
      <c r="AR259" s="742"/>
    </row>
    <row r="260" spans="3:44" ht="18" customHeight="1">
      <c r="C260" s="758"/>
      <c r="D260" s="759"/>
      <c r="E260" s="760"/>
      <c r="F260" s="796"/>
      <c r="G260" s="797"/>
      <c r="H260" s="797"/>
      <c r="I260" s="797"/>
      <c r="J260" s="797"/>
      <c r="K260" s="797"/>
      <c r="L260" s="797"/>
      <c r="M260" s="797"/>
      <c r="N260" s="797"/>
      <c r="O260" s="797"/>
      <c r="P260" s="797"/>
      <c r="Q260" s="797"/>
      <c r="R260" s="797"/>
      <c r="S260" s="797"/>
      <c r="T260" s="797"/>
      <c r="U260" s="797"/>
      <c r="V260" s="797"/>
      <c r="W260" s="797"/>
      <c r="X260" s="797"/>
      <c r="Y260" s="797"/>
      <c r="Z260" s="797"/>
      <c r="AA260" s="797"/>
      <c r="AB260" s="798"/>
      <c r="AC260" s="799"/>
      <c r="AD260" s="800"/>
      <c r="AE260" s="800"/>
      <c r="AF260" s="801"/>
      <c r="AG260" s="466"/>
      <c r="AH260" s="467"/>
      <c r="AI260" s="467"/>
      <c r="AJ260" s="468"/>
      <c r="AK260" s="737"/>
      <c r="AL260" s="738"/>
      <c r="AM260" s="738"/>
      <c r="AN260" s="739"/>
      <c r="AO260" s="740"/>
      <c r="AP260" s="741"/>
      <c r="AQ260" s="741"/>
      <c r="AR260" s="742"/>
    </row>
    <row r="261" spans="3:44" ht="18" customHeight="1">
      <c r="C261" s="758"/>
      <c r="D261" s="759"/>
      <c r="E261" s="760"/>
      <c r="F261" s="796"/>
      <c r="G261" s="797"/>
      <c r="H261" s="797"/>
      <c r="I261" s="797"/>
      <c r="J261" s="797"/>
      <c r="K261" s="797"/>
      <c r="L261" s="797"/>
      <c r="M261" s="797"/>
      <c r="N261" s="797"/>
      <c r="O261" s="797"/>
      <c r="P261" s="797"/>
      <c r="Q261" s="797"/>
      <c r="R261" s="797"/>
      <c r="S261" s="797"/>
      <c r="T261" s="797"/>
      <c r="U261" s="797"/>
      <c r="V261" s="797"/>
      <c r="W261" s="797"/>
      <c r="X261" s="797"/>
      <c r="Y261" s="797"/>
      <c r="Z261" s="797"/>
      <c r="AA261" s="797"/>
      <c r="AB261" s="798"/>
      <c r="AC261" s="799"/>
      <c r="AD261" s="800"/>
      <c r="AE261" s="800"/>
      <c r="AF261" s="801"/>
      <c r="AG261" s="466"/>
      <c r="AH261" s="467"/>
      <c r="AI261" s="467"/>
      <c r="AJ261" s="468"/>
      <c r="AK261" s="737"/>
      <c r="AL261" s="738"/>
      <c r="AM261" s="738"/>
      <c r="AN261" s="739"/>
      <c r="AO261" s="740"/>
      <c r="AP261" s="741"/>
      <c r="AQ261" s="741"/>
      <c r="AR261" s="742"/>
    </row>
    <row r="262" spans="3:44" ht="18" customHeight="1">
      <c r="C262" s="758"/>
      <c r="D262" s="759"/>
      <c r="E262" s="760"/>
      <c r="F262" s="796"/>
      <c r="G262" s="797"/>
      <c r="H262" s="797"/>
      <c r="I262" s="797"/>
      <c r="J262" s="797"/>
      <c r="K262" s="797"/>
      <c r="L262" s="797"/>
      <c r="M262" s="797"/>
      <c r="N262" s="797"/>
      <c r="O262" s="797"/>
      <c r="P262" s="797"/>
      <c r="Q262" s="797"/>
      <c r="R262" s="797"/>
      <c r="S262" s="797"/>
      <c r="T262" s="797"/>
      <c r="U262" s="797"/>
      <c r="V262" s="797"/>
      <c r="W262" s="797"/>
      <c r="X262" s="797"/>
      <c r="Y262" s="797"/>
      <c r="Z262" s="797"/>
      <c r="AA262" s="797"/>
      <c r="AB262" s="798"/>
      <c r="AC262" s="799"/>
      <c r="AD262" s="800"/>
      <c r="AE262" s="800"/>
      <c r="AF262" s="801"/>
      <c r="AG262" s="466"/>
      <c r="AH262" s="467"/>
      <c r="AI262" s="467"/>
      <c r="AJ262" s="468"/>
      <c r="AK262" s="737"/>
      <c r="AL262" s="738"/>
      <c r="AM262" s="738"/>
      <c r="AN262" s="739"/>
      <c r="AO262" s="740"/>
      <c r="AP262" s="741"/>
      <c r="AQ262" s="741"/>
      <c r="AR262" s="742"/>
    </row>
    <row r="263" spans="3:44" ht="18" customHeight="1">
      <c r="C263" s="758"/>
      <c r="D263" s="759"/>
      <c r="E263" s="760"/>
      <c r="F263" s="796"/>
      <c r="G263" s="797"/>
      <c r="H263" s="797"/>
      <c r="I263" s="797"/>
      <c r="J263" s="797"/>
      <c r="K263" s="797"/>
      <c r="L263" s="797"/>
      <c r="M263" s="797"/>
      <c r="N263" s="797"/>
      <c r="O263" s="797"/>
      <c r="P263" s="797"/>
      <c r="Q263" s="797"/>
      <c r="R263" s="797"/>
      <c r="S263" s="797"/>
      <c r="T263" s="797"/>
      <c r="U263" s="797"/>
      <c r="V263" s="797"/>
      <c r="W263" s="797"/>
      <c r="X263" s="797"/>
      <c r="Y263" s="797"/>
      <c r="Z263" s="797"/>
      <c r="AA263" s="797"/>
      <c r="AB263" s="798"/>
      <c r="AC263" s="799"/>
      <c r="AD263" s="800"/>
      <c r="AE263" s="800"/>
      <c r="AF263" s="801"/>
      <c r="AG263" s="466"/>
      <c r="AH263" s="467"/>
      <c r="AI263" s="467"/>
      <c r="AJ263" s="468"/>
      <c r="AK263" s="737"/>
      <c r="AL263" s="738"/>
      <c r="AM263" s="738"/>
      <c r="AN263" s="739"/>
      <c r="AO263" s="740"/>
      <c r="AP263" s="741"/>
      <c r="AQ263" s="741"/>
      <c r="AR263" s="742"/>
    </row>
    <row r="264" spans="3:44" ht="18" customHeight="1">
      <c r="C264" s="743"/>
      <c r="D264" s="744"/>
      <c r="E264" s="744"/>
      <c r="F264" s="744"/>
      <c r="G264" s="744"/>
      <c r="H264" s="744"/>
      <c r="I264" s="744"/>
      <c r="J264" s="744"/>
      <c r="K264" s="744"/>
      <c r="L264" s="744"/>
      <c r="M264" s="744"/>
      <c r="N264" s="744"/>
      <c r="O264" s="744"/>
      <c r="P264" s="744"/>
      <c r="Q264" s="744"/>
      <c r="R264" s="744"/>
      <c r="S264" s="744"/>
      <c r="T264" s="744"/>
      <c r="U264" s="744"/>
      <c r="V264" s="744"/>
      <c r="W264" s="744"/>
      <c r="X264" s="744"/>
      <c r="Y264" s="745" t="s">
        <v>88</v>
      </c>
      <c r="Z264" s="745"/>
      <c r="AA264" s="745"/>
      <c r="AB264" s="745"/>
      <c r="AC264" s="745"/>
      <c r="AD264" s="745"/>
      <c r="AE264" s="745"/>
      <c r="AF264" s="745"/>
      <c r="AG264" s="745"/>
      <c r="AH264" s="745"/>
      <c r="AI264" s="745"/>
      <c r="AJ264" s="745"/>
      <c r="AK264" s="745"/>
      <c r="AL264" s="745"/>
      <c r="AM264" s="745"/>
      <c r="AN264" s="430"/>
      <c r="AO264" s="477">
        <f>SUM(AO256:AR263)</f>
        <v>1382.25</v>
      </c>
      <c r="AP264" s="746"/>
      <c r="AQ264" s="746"/>
      <c r="AR264" s="747"/>
    </row>
    <row r="266" spans="3:44" ht="18" customHeight="1">
      <c r="C266" s="794" t="s">
        <v>43</v>
      </c>
      <c r="D266" s="774"/>
      <c r="E266" s="775"/>
      <c r="F266" s="773" t="s">
        <v>89</v>
      </c>
      <c r="G266" s="774"/>
      <c r="H266" s="774"/>
      <c r="I266" s="774"/>
      <c r="J266" s="774"/>
      <c r="K266" s="774"/>
      <c r="L266" s="774"/>
      <c r="M266" s="774"/>
      <c r="N266" s="774"/>
      <c r="O266" s="774"/>
      <c r="P266" s="774"/>
      <c r="Q266" s="774"/>
      <c r="R266" s="775"/>
      <c r="S266" s="773" t="s">
        <v>90</v>
      </c>
      <c r="T266" s="774"/>
      <c r="U266" s="775"/>
      <c r="V266" s="773" t="s">
        <v>91</v>
      </c>
      <c r="W266" s="774"/>
      <c r="X266" s="775"/>
      <c r="Y266" s="773" t="s">
        <v>92</v>
      </c>
      <c r="Z266" s="774"/>
      <c r="AA266" s="774"/>
      <c r="AB266" s="774"/>
      <c r="AC266" s="774"/>
      <c r="AD266" s="775"/>
      <c r="AE266" s="773" t="s">
        <v>93</v>
      </c>
      <c r="AF266" s="774"/>
      <c r="AG266" s="775"/>
      <c r="AH266" s="773" t="s">
        <v>94</v>
      </c>
      <c r="AI266" s="774"/>
      <c r="AJ266" s="775"/>
      <c r="AK266" s="773" t="s">
        <v>86</v>
      </c>
      <c r="AL266" s="774"/>
      <c r="AM266" s="774"/>
      <c r="AN266" s="775"/>
      <c r="AO266" s="773" t="s">
        <v>87</v>
      </c>
      <c r="AP266" s="774"/>
      <c r="AQ266" s="774"/>
      <c r="AR266" s="779"/>
    </row>
    <row r="267" spans="3:44" ht="18" customHeight="1">
      <c r="C267" s="795"/>
      <c r="D267" s="777"/>
      <c r="E267" s="778"/>
      <c r="F267" s="776"/>
      <c r="G267" s="777"/>
      <c r="H267" s="777"/>
      <c r="I267" s="777"/>
      <c r="J267" s="777"/>
      <c r="K267" s="777"/>
      <c r="L267" s="777"/>
      <c r="M267" s="777"/>
      <c r="N267" s="777"/>
      <c r="O267" s="777"/>
      <c r="P267" s="777"/>
      <c r="Q267" s="777"/>
      <c r="R267" s="778"/>
      <c r="S267" s="776"/>
      <c r="T267" s="777"/>
      <c r="U267" s="778"/>
      <c r="V267" s="776"/>
      <c r="W267" s="777"/>
      <c r="X267" s="778"/>
      <c r="Y267" s="776"/>
      <c r="Z267" s="777"/>
      <c r="AA267" s="777"/>
      <c r="AB267" s="777"/>
      <c r="AC267" s="777"/>
      <c r="AD267" s="778"/>
      <c r="AE267" s="776"/>
      <c r="AF267" s="777"/>
      <c r="AG267" s="778"/>
      <c r="AH267" s="776"/>
      <c r="AI267" s="777"/>
      <c r="AJ267" s="778"/>
      <c r="AK267" s="776"/>
      <c r="AL267" s="777"/>
      <c r="AM267" s="777"/>
      <c r="AN267" s="778"/>
      <c r="AO267" s="776"/>
      <c r="AP267" s="777"/>
      <c r="AQ267" s="777"/>
      <c r="AR267" s="780"/>
    </row>
    <row r="268" spans="3:44" ht="18" customHeight="1">
      <c r="C268" s="781"/>
      <c r="D268" s="782"/>
      <c r="E268" s="783"/>
      <c r="F268" s="457"/>
      <c r="G268" s="457"/>
      <c r="H268" s="457"/>
      <c r="I268" s="457"/>
      <c r="J268" s="457"/>
      <c r="K268" s="457"/>
      <c r="L268" s="457"/>
      <c r="M268" s="457"/>
      <c r="N268" s="457"/>
      <c r="O268" s="457"/>
      <c r="P268" s="457"/>
      <c r="Q268" s="457"/>
      <c r="R268" s="457"/>
      <c r="S268" s="784"/>
      <c r="T268" s="785"/>
      <c r="U268" s="786"/>
      <c r="V268" s="784"/>
      <c r="W268" s="785"/>
      <c r="X268" s="786"/>
      <c r="Y268" s="787"/>
      <c r="Z268" s="788"/>
      <c r="AA268" s="788"/>
      <c r="AB268" s="788"/>
      <c r="AC268" s="788"/>
      <c r="AD268" s="789"/>
      <c r="AE268" s="449"/>
      <c r="AF268" s="449"/>
      <c r="AG268" s="449"/>
      <c r="AH268" s="770"/>
      <c r="AI268" s="771"/>
      <c r="AJ268" s="790"/>
      <c r="AK268" s="791"/>
      <c r="AL268" s="792"/>
      <c r="AM268" s="792"/>
      <c r="AN268" s="793"/>
      <c r="AO268" s="770"/>
      <c r="AP268" s="771"/>
      <c r="AQ268" s="771"/>
      <c r="AR268" s="772"/>
    </row>
    <row r="269" spans="3:44" ht="18" customHeight="1">
      <c r="C269" s="758"/>
      <c r="D269" s="759"/>
      <c r="E269" s="760"/>
      <c r="F269" s="761"/>
      <c r="G269" s="762"/>
      <c r="H269" s="762"/>
      <c r="I269" s="762"/>
      <c r="J269" s="762"/>
      <c r="K269" s="762"/>
      <c r="L269" s="762"/>
      <c r="M269" s="762"/>
      <c r="N269" s="762"/>
      <c r="O269" s="762"/>
      <c r="P269" s="762"/>
      <c r="Q269" s="762"/>
      <c r="R269" s="763"/>
      <c r="S269" s="764"/>
      <c r="T269" s="765"/>
      <c r="U269" s="766"/>
      <c r="V269" s="764"/>
      <c r="W269" s="765"/>
      <c r="X269" s="766"/>
      <c r="Y269" s="767"/>
      <c r="Z269" s="768"/>
      <c r="AA269" s="768"/>
      <c r="AB269" s="768"/>
      <c r="AC269" s="768"/>
      <c r="AD269" s="769"/>
      <c r="AE269" s="740"/>
      <c r="AF269" s="741"/>
      <c r="AG269" s="757"/>
      <c r="AH269" s="740"/>
      <c r="AI269" s="741"/>
      <c r="AJ269" s="757"/>
      <c r="AK269" s="737"/>
      <c r="AL269" s="738"/>
      <c r="AM269" s="738"/>
      <c r="AN269" s="739"/>
      <c r="AO269" s="740">
        <f t="shared" ref="AO269:AO275" si="4">ROUND(AE269*AH269*AK269,2)</f>
        <v>0</v>
      </c>
      <c r="AP269" s="741"/>
      <c r="AQ269" s="741"/>
      <c r="AR269" s="742"/>
    </row>
    <row r="270" spans="3:44" ht="18" customHeight="1">
      <c r="C270" s="758"/>
      <c r="D270" s="759"/>
      <c r="E270" s="760"/>
      <c r="F270" s="761"/>
      <c r="G270" s="762"/>
      <c r="H270" s="762"/>
      <c r="I270" s="762"/>
      <c r="J270" s="762"/>
      <c r="K270" s="762"/>
      <c r="L270" s="762"/>
      <c r="M270" s="762"/>
      <c r="N270" s="762"/>
      <c r="O270" s="762"/>
      <c r="P270" s="762"/>
      <c r="Q270" s="762"/>
      <c r="R270" s="763"/>
      <c r="S270" s="764"/>
      <c r="T270" s="765"/>
      <c r="U270" s="766"/>
      <c r="V270" s="764"/>
      <c r="W270" s="765"/>
      <c r="X270" s="766"/>
      <c r="Y270" s="767"/>
      <c r="Z270" s="768"/>
      <c r="AA270" s="768"/>
      <c r="AB270" s="768"/>
      <c r="AC270" s="768"/>
      <c r="AD270" s="769"/>
      <c r="AE270" s="740"/>
      <c r="AF270" s="741"/>
      <c r="AG270" s="757"/>
      <c r="AH270" s="740"/>
      <c r="AI270" s="741"/>
      <c r="AJ270" s="757"/>
      <c r="AK270" s="737"/>
      <c r="AL270" s="738"/>
      <c r="AM270" s="738"/>
      <c r="AN270" s="739"/>
      <c r="AO270" s="740">
        <f t="shared" si="4"/>
        <v>0</v>
      </c>
      <c r="AP270" s="741"/>
      <c r="AQ270" s="741"/>
      <c r="AR270" s="742"/>
    </row>
    <row r="271" spans="3:44" ht="18" customHeight="1">
      <c r="C271" s="758"/>
      <c r="D271" s="759"/>
      <c r="E271" s="760"/>
      <c r="F271" s="761"/>
      <c r="G271" s="762"/>
      <c r="H271" s="762"/>
      <c r="I271" s="762"/>
      <c r="J271" s="762"/>
      <c r="K271" s="762"/>
      <c r="L271" s="762"/>
      <c r="M271" s="762"/>
      <c r="N271" s="762"/>
      <c r="O271" s="762"/>
      <c r="P271" s="762"/>
      <c r="Q271" s="762"/>
      <c r="R271" s="763"/>
      <c r="S271" s="764"/>
      <c r="T271" s="765"/>
      <c r="U271" s="766"/>
      <c r="V271" s="764"/>
      <c r="W271" s="765"/>
      <c r="X271" s="766"/>
      <c r="Y271" s="767"/>
      <c r="Z271" s="768"/>
      <c r="AA271" s="768"/>
      <c r="AB271" s="768"/>
      <c r="AC271" s="768"/>
      <c r="AD271" s="769"/>
      <c r="AE271" s="740"/>
      <c r="AF271" s="741"/>
      <c r="AG271" s="757"/>
      <c r="AH271" s="740"/>
      <c r="AI271" s="741"/>
      <c r="AJ271" s="757"/>
      <c r="AK271" s="737"/>
      <c r="AL271" s="738"/>
      <c r="AM271" s="738"/>
      <c r="AN271" s="739"/>
      <c r="AO271" s="740">
        <f t="shared" si="4"/>
        <v>0</v>
      </c>
      <c r="AP271" s="741"/>
      <c r="AQ271" s="741"/>
      <c r="AR271" s="742"/>
    </row>
    <row r="272" spans="3:44" ht="18" customHeight="1">
      <c r="C272" s="758"/>
      <c r="D272" s="759"/>
      <c r="E272" s="760"/>
      <c r="F272" s="761"/>
      <c r="G272" s="762"/>
      <c r="H272" s="762"/>
      <c r="I272" s="762"/>
      <c r="J272" s="762"/>
      <c r="K272" s="762"/>
      <c r="L272" s="762"/>
      <c r="M272" s="762"/>
      <c r="N272" s="762"/>
      <c r="O272" s="762"/>
      <c r="P272" s="762"/>
      <c r="Q272" s="762"/>
      <c r="R272" s="763"/>
      <c r="S272" s="764"/>
      <c r="T272" s="765"/>
      <c r="U272" s="766"/>
      <c r="V272" s="764"/>
      <c r="W272" s="765"/>
      <c r="X272" s="766"/>
      <c r="Y272" s="767"/>
      <c r="Z272" s="768"/>
      <c r="AA272" s="768"/>
      <c r="AB272" s="768"/>
      <c r="AC272" s="768"/>
      <c r="AD272" s="769"/>
      <c r="AE272" s="740"/>
      <c r="AF272" s="741"/>
      <c r="AG272" s="757"/>
      <c r="AH272" s="740"/>
      <c r="AI272" s="741"/>
      <c r="AJ272" s="757"/>
      <c r="AK272" s="737"/>
      <c r="AL272" s="738"/>
      <c r="AM272" s="738"/>
      <c r="AN272" s="739"/>
      <c r="AO272" s="740">
        <f t="shared" si="4"/>
        <v>0</v>
      </c>
      <c r="AP272" s="741"/>
      <c r="AQ272" s="741"/>
      <c r="AR272" s="742"/>
    </row>
    <row r="273" spans="1:44" ht="18" customHeight="1">
      <c r="C273" s="758"/>
      <c r="D273" s="759"/>
      <c r="E273" s="760"/>
      <c r="F273" s="761"/>
      <c r="G273" s="762"/>
      <c r="H273" s="762"/>
      <c r="I273" s="762"/>
      <c r="J273" s="762"/>
      <c r="K273" s="762"/>
      <c r="L273" s="762"/>
      <c r="M273" s="762"/>
      <c r="N273" s="762"/>
      <c r="O273" s="762"/>
      <c r="P273" s="762"/>
      <c r="Q273" s="762"/>
      <c r="R273" s="763"/>
      <c r="S273" s="764"/>
      <c r="T273" s="765"/>
      <c r="U273" s="766"/>
      <c r="V273" s="764"/>
      <c r="W273" s="765"/>
      <c r="X273" s="766"/>
      <c r="Y273" s="767"/>
      <c r="Z273" s="768"/>
      <c r="AA273" s="768"/>
      <c r="AB273" s="768"/>
      <c r="AC273" s="768"/>
      <c r="AD273" s="769"/>
      <c r="AE273" s="740"/>
      <c r="AF273" s="741"/>
      <c r="AG273" s="757"/>
      <c r="AH273" s="740"/>
      <c r="AI273" s="741"/>
      <c r="AJ273" s="757"/>
      <c r="AK273" s="737"/>
      <c r="AL273" s="738"/>
      <c r="AM273" s="738"/>
      <c r="AN273" s="739"/>
      <c r="AO273" s="740">
        <f t="shared" si="4"/>
        <v>0</v>
      </c>
      <c r="AP273" s="741"/>
      <c r="AQ273" s="741"/>
      <c r="AR273" s="742"/>
    </row>
    <row r="274" spans="1:44" ht="18" customHeight="1">
      <c r="C274" s="758"/>
      <c r="D274" s="759"/>
      <c r="E274" s="760"/>
      <c r="F274" s="761"/>
      <c r="G274" s="762"/>
      <c r="H274" s="762"/>
      <c r="I274" s="762"/>
      <c r="J274" s="762"/>
      <c r="K274" s="762"/>
      <c r="L274" s="762"/>
      <c r="M274" s="762"/>
      <c r="N274" s="762"/>
      <c r="O274" s="762"/>
      <c r="P274" s="762"/>
      <c r="Q274" s="762"/>
      <c r="R274" s="763"/>
      <c r="S274" s="764"/>
      <c r="T274" s="765"/>
      <c r="U274" s="766"/>
      <c r="V274" s="764"/>
      <c r="W274" s="765"/>
      <c r="X274" s="766"/>
      <c r="Y274" s="767"/>
      <c r="Z274" s="768"/>
      <c r="AA274" s="768"/>
      <c r="AB274" s="768"/>
      <c r="AC274" s="768"/>
      <c r="AD274" s="769"/>
      <c r="AE274" s="740"/>
      <c r="AF274" s="741"/>
      <c r="AG274" s="757"/>
      <c r="AH274" s="740"/>
      <c r="AI274" s="741"/>
      <c r="AJ274" s="757"/>
      <c r="AK274" s="737"/>
      <c r="AL274" s="738"/>
      <c r="AM274" s="738"/>
      <c r="AN274" s="739"/>
      <c r="AO274" s="740">
        <f t="shared" si="4"/>
        <v>0</v>
      </c>
      <c r="AP274" s="741"/>
      <c r="AQ274" s="741"/>
      <c r="AR274" s="742"/>
    </row>
    <row r="275" spans="1:44" ht="18" customHeight="1">
      <c r="C275" s="758"/>
      <c r="D275" s="759"/>
      <c r="E275" s="760"/>
      <c r="F275" s="761"/>
      <c r="G275" s="762"/>
      <c r="H275" s="762"/>
      <c r="I275" s="762"/>
      <c r="J275" s="762"/>
      <c r="K275" s="762"/>
      <c r="L275" s="762"/>
      <c r="M275" s="762"/>
      <c r="N275" s="762"/>
      <c r="O275" s="762"/>
      <c r="P275" s="762"/>
      <c r="Q275" s="762"/>
      <c r="R275" s="763"/>
      <c r="S275" s="764"/>
      <c r="T275" s="765"/>
      <c r="U275" s="766"/>
      <c r="V275" s="764"/>
      <c r="W275" s="765"/>
      <c r="X275" s="766"/>
      <c r="Y275" s="767"/>
      <c r="Z275" s="768"/>
      <c r="AA275" s="768"/>
      <c r="AB275" s="768"/>
      <c r="AC275" s="768"/>
      <c r="AD275" s="769"/>
      <c r="AE275" s="740"/>
      <c r="AF275" s="741"/>
      <c r="AG275" s="757"/>
      <c r="AH275" s="740"/>
      <c r="AI275" s="741"/>
      <c r="AJ275" s="757"/>
      <c r="AK275" s="737"/>
      <c r="AL275" s="738"/>
      <c r="AM275" s="738"/>
      <c r="AN275" s="739"/>
      <c r="AO275" s="740">
        <f t="shared" si="4"/>
        <v>0</v>
      </c>
      <c r="AP275" s="741"/>
      <c r="AQ275" s="741"/>
      <c r="AR275" s="742"/>
    </row>
    <row r="276" spans="1:44" ht="18" customHeight="1">
      <c r="C276" s="743"/>
      <c r="D276" s="744"/>
      <c r="E276" s="744"/>
      <c r="F276" s="744"/>
      <c r="G276" s="744"/>
      <c r="H276" s="744"/>
      <c r="I276" s="744"/>
      <c r="J276" s="744"/>
      <c r="K276" s="744"/>
      <c r="L276" s="744"/>
      <c r="M276" s="744"/>
      <c r="N276" s="744"/>
      <c r="O276" s="744"/>
      <c r="P276" s="744"/>
      <c r="Q276" s="744"/>
      <c r="R276" s="744"/>
      <c r="S276" s="744"/>
      <c r="T276" s="744"/>
      <c r="U276" s="744"/>
      <c r="V276" s="744"/>
      <c r="W276" s="744"/>
      <c r="X276" s="744"/>
      <c r="Y276" s="745" t="s">
        <v>95</v>
      </c>
      <c r="Z276" s="745"/>
      <c r="AA276" s="745"/>
      <c r="AB276" s="745"/>
      <c r="AC276" s="745"/>
      <c r="AD276" s="745"/>
      <c r="AE276" s="745"/>
      <c r="AF276" s="745"/>
      <c r="AG276" s="745"/>
      <c r="AH276" s="745"/>
      <c r="AI276" s="745"/>
      <c r="AJ276" s="745"/>
      <c r="AK276" s="745"/>
      <c r="AL276" s="745"/>
      <c r="AM276" s="745"/>
      <c r="AN276" s="430"/>
      <c r="AO276" s="477">
        <f>SUM(AO268:AR275)</f>
        <v>0</v>
      </c>
      <c r="AP276" s="746"/>
      <c r="AQ276" s="746"/>
      <c r="AR276" s="747"/>
    </row>
    <row r="278" spans="1:44" ht="18" customHeight="1">
      <c r="C278" s="434"/>
      <c r="D278" s="434"/>
      <c r="E278" s="434"/>
      <c r="F278" s="434"/>
      <c r="G278" s="434"/>
      <c r="H278" s="434"/>
      <c r="I278" s="434"/>
      <c r="J278" s="434"/>
      <c r="K278" s="434"/>
      <c r="L278" s="434"/>
      <c r="M278" s="434"/>
      <c r="N278" s="434"/>
      <c r="O278" s="434"/>
      <c r="P278" s="434"/>
      <c r="Q278" s="434"/>
      <c r="R278" s="434"/>
      <c r="S278" s="434"/>
      <c r="T278" s="434"/>
      <c r="U278" s="434"/>
      <c r="V278" s="434"/>
      <c r="W278" s="434"/>
      <c r="X278" s="748"/>
      <c r="Y278" s="749" t="s">
        <v>96</v>
      </c>
      <c r="Z278" s="750"/>
      <c r="AA278" s="750"/>
      <c r="AB278" s="750"/>
      <c r="AC278" s="750"/>
      <c r="AD278" s="750"/>
      <c r="AE278" s="750"/>
      <c r="AF278" s="750"/>
      <c r="AG278" s="750"/>
      <c r="AH278" s="750"/>
      <c r="AI278" s="750"/>
      <c r="AJ278" s="750"/>
      <c r="AK278" s="750"/>
      <c r="AL278" s="750"/>
      <c r="AM278" s="750"/>
      <c r="AN278" s="751"/>
      <c r="AO278" s="752">
        <f>AO252+AO264+AO276</f>
        <v>1465.34</v>
      </c>
      <c r="AP278" s="753"/>
      <c r="AQ278" s="753"/>
      <c r="AR278" s="754"/>
    </row>
    <row r="279" spans="1:44" ht="18" customHeight="1">
      <c r="C279" s="434"/>
      <c r="D279" s="434"/>
      <c r="E279" s="434"/>
      <c r="F279" s="434"/>
      <c r="G279" s="434"/>
      <c r="H279" s="434"/>
      <c r="I279" s="434"/>
      <c r="J279" s="434"/>
      <c r="K279" s="434"/>
      <c r="L279" s="434"/>
      <c r="M279" s="434"/>
      <c r="N279" s="434"/>
      <c r="O279" s="434"/>
      <c r="P279" s="434"/>
      <c r="Q279" s="434"/>
      <c r="R279" s="434"/>
      <c r="S279" s="434"/>
      <c r="T279" s="434"/>
      <c r="U279" s="434"/>
      <c r="V279" s="434"/>
      <c r="W279" s="434"/>
      <c r="X279" s="748"/>
      <c r="Y279" s="755" t="s">
        <v>97</v>
      </c>
      <c r="Z279" s="756"/>
      <c r="AA279" s="756"/>
      <c r="AB279" s="756"/>
      <c r="AC279" s="756"/>
      <c r="AD279" s="756"/>
      <c r="AE279" s="756"/>
      <c r="AF279" s="756"/>
      <c r="AG279" s="756"/>
      <c r="AH279" s="442">
        <v>0.2031</v>
      </c>
      <c r="AI279" s="442"/>
      <c r="AJ279" s="442"/>
      <c r="AK279" s="442"/>
      <c r="AL279" s="442"/>
      <c r="AM279" s="442"/>
      <c r="AN279" s="443"/>
      <c r="AO279" s="728">
        <f>ROUND(AO278*AH279,2)</f>
        <v>297.61</v>
      </c>
      <c r="AP279" s="729"/>
      <c r="AQ279" s="729"/>
      <c r="AR279" s="730"/>
    </row>
    <row r="280" spans="1:44" ht="18" customHeight="1">
      <c r="A280" s="415" t="s">
        <v>424</v>
      </c>
      <c r="B280" s="415"/>
      <c r="C280" s="434"/>
      <c r="D280" s="434"/>
      <c r="E280" s="434"/>
      <c r="F280" s="434"/>
      <c r="G280" s="434"/>
      <c r="H280" s="434"/>
      <c r="I280" s="434"/>
      <c r="J280" s="434"/>
      <c r="K280" s="434"/>
      <c r="L280" s="434"/>
      <c r="M280" s="434"/>
      <c r="N280" s="434"/>
      <c r="O280" s="434"/>
      <c r="P280" s="434"/>
      <c r="Q280" s="434"/>
      <c r="R280" s="434"/>
      <c r="S280" s="434"/>
      <c r="T280" s="434"/>
      <c r="U280" s="434"/>
      <c r="V280" s="434"/>
      <c r="W280" s="434"/>
      <c r="X280" s="748"/>
      <c r="Y280" s="731" t="s">
        <v>98</v>
      </c>
      <c r="Z280" s="732"/>
      <c r="AA280" s="732"/>
      <c r="AB280" s="732"/>
      <c r="AC280" s="732"/>
      <c r="AD280" s="732"/>
      <c r="AE280" s="732"/>
      <c r="AF280" s="732"/>
      <c r="AG280" s="732"/>
      <c r="AH280" s="732"/>
      <c r="AI280" s="732"/>
      <c r="AJ280" s="732"/>
      <c r="AK280" s="732"/>
      <c r="AL280" s="732"/>
      <c r="AM280" s="732"/>
      <c r="AN280" s="733"/>
      <c r="AO280" s="734">
        <f>SUM(AO278:AR279)</f>
        <v>1762.9499999999998</v>
      </c>
      <c r="AP280" s="735"/>
      <c r="AQ280" s="735"/>
      <c r="AR280" s="736"/>
    </row>
    <row r="282" spans="1:44" ht="18" customHeight="1">
      <c r="C282" s="420" t="s">
        <v>99</v>
      </c>
      <c r="D282" s="421"/>
      <c r="E282" s="421"/>
      <c r="F282" s="421"/>
      <c r="G282" s="421"/>
      <c r="H282" s="421"/>
      <c r="I282" s="422"/>
      <c r="J282" s="422"/>
      <c r="K282" s="422"/>
      <c r="L282" s="422"/>
      <c r="M282" s="422"/>
      <c r="N282" s="422"/>
      <c r="O282" s="422"/>
      <c r="P282" s="422"/>
      <c r="Q282" s="422"/>
      <c r="R282" s="422"/>
      <c r="S282" s="422"/>
      <c r="T282" s="422"/>
      <c r="U282" s="422"/>
      <c r="V282" s="422"/>
      <c r="W282" s="422"/>
      <c r="X282" s="422"/>
      <c r="Y282" s="422"/>
      <c r="Z282" s="422"/>
      <c r="AA282" s="422"/>
      <c r="AB282" s="422"/>
      <c r="AC282" s="422"/>
      <c r="AD282" s="422"/>
      <c r="AE282" s="422"/>
      <c r="AF282" s="422"/>
      <c r="AG282" s="422"/>
      <c r="AH282" s="422"/>
      <c r="AI282" s="422"/>
      <c r="AJ282" s="422"/>
      <c r="AK282" s="422"/>
      <c r="AL282" s="422"/>
      <c r="AM282" s="422"/>
      <c r="AN282" s="422"/>
      <c r="AO282" s="422"/>
      <c r="AP282" s="422"/>
      <c r="AQ282" s="422"/>
      <c r="AR282" s="423"/>
    </row>
    <row r="283" spans="1:44" ht="18" customHeight="1">
      <c r="C283" s="411"/>
      <c r="D283" s="412"/>
      <c r="E283" s="412"/>
      <c r="F283" s="412"/>
      <c r="G283" s="412"/>
      <c r="H283" s="412"/>
      <c r="I283" s="409"/>
      <c r="J283" s="409"/>
      <c r="K283" s="409"/>
      <c r="L283" s="409"/>
      <c r="M283" s="409"/>
      <c r="N283" s="409"/>
      <c r="O283" s="409"/>
      <c r="P283" s="409"/>
      <c r="Q283" s="409"/>
      <c r="R283" s="409"/>
      <c r="S283" s="409"/>
      <c r="T283" s="409"/>
      <c r="U283" s="409"/>
      <c r="V283" s="409"/>
      <c r="W283" s="409"/>
      <c r="X283" s="409"/>
      <c r="Y283" s="409"/>
      <c r="Z283" s="409"/>
      <c r="AA283" s="409"/>
      <c r="AB283" s="409"/>
      <c r="AC283" s="409"/>
      <c r="AD283" s="409"/>
      <c r="AE283" s="409"/>
      <c r="AF283" s="409"/>
      <c r="AG283" s="409"/>
      <c r="AH283" s="409"/>
      <c r="AI283" s="409"/>
      <c r="AJ283" s="409"/>
      <c r="AK283" s="409"/>
      <c r="AL283" s="409"/>
      <c r="AM283" s="409"/>
      <c r="AN283" s="409"/>
      <c r="AO283" s="409"/>
      <c r="AP283" s="409"/>
      <c r="AQ283" s="409"/>
      <c r="AR283" s="410"/>
    </row>
    <row r="284" spans="1:44" ht="18" customHeight="1">
      <c r="C284" s="411"/>
      <c r="D284" s="412"/>
      <c r="E284" s="412"/>
      <c r="F284" s="412"/>
      <c r="G284" s="412"/>
      <c r="H284" s="412"/>
      <c r="I284" s="409"/>
      <c r="J284" s="409"/>
      <c r="K284" s="409"/>
      <c r="L284" s="409"/>
      <c r="M284" s="409"/>
      <c r="N284" s="409"/>
      <c r="O284" s="409"/>
      <c r="P284" s="409"/>
      <c r="Q284" s="409"/>
      <c r="R284" s="409"/>
      <c r="S284" s="409"/>
      <c r="T284" s="409"/>
      <c r="U284" s="409"/>
      <c r="V284" s="409"/>
      <c r="W284" s="409"/>
      <c r="X284" s="409"/>
      <c r="Y284" s="409"/>
      <c r="Z284" s="409"/>
      <c r="AA284" s="409"/>
      <c r="AB284" s="409"/>
      <c r="AC284" s="409"/>
      <c r="AD284" s="409"/>
      <c r="AE284" s="409"/>
      <c r="AF284" s="409"/>
      <c r="AG284" s="409"/>
      <c r="AH284" s="409"/>
      <c r="AI284" s="409"/>
      <c r="AJ284" s="409"/>
      <c r="AK284" s="409"/>
      <c r="AL284" s="409"/>
      <c r="AM284" s="409"/>
      <c r="AN284" s="409"/>
      <c r="AO284" s="409"/>
      <c r="AP284" s="409"/>
      <c r="AQ284" s="409"/>
      <c r="AR284" s="410"/>
    </row>
    <row r="285" spans="1:44" ht="18" customHeight="1">
      <c r="C285" s="411"/>
      <c r="D285" s="412"/>
      <c r="E285" s="412"/>
      <c r="F285" s="412"/>
      <c r="G285" s="412"/>
      <c r="H285" s="412"/>
      <c r="I285" s="409"/>
      <c r="J285" s="409"/>
      <c r="K285" s="409"/>
      <c r="L285" s="409"/>
      <c r="M285" s="409"/>
      <c r="N285" s="409"/>
      <c r="O285" s="409"/>
      <c r="P285" s="409"/>
      <c r="Q285" s="409"/>
      <c r="R285" s="409"/>
      <c r="S285" s="409"/>
      <c r="T285" s="409"/>
      <c r="U285" s="409"/>
      <c r="V285" s="409"/>
      <c r="W285" s="409"/>
      <c r="X285" s="409"/>
      <c r="Y285" s="409"/>
      <c r="Z285" s="409"/>
      <c r="AA285" s="409"/>
      <c r="AB285" s="409"/>
      <c r="AC285" s="409"/>
      <c r="AD285" s="409"/>
      <c r="AE285" s="409"/>
      <c r="AF285" s="409"/>
      <c r="AG285" s="409"/>
      <c r="AH285" s="409"/>
      <c r="AI285" s="409"/>
      <c r="AJ285" s="409"/>
      <c r="AK285" s="409"/>
      <c r="AL285" s="409"/>
      <c r="AM285" s="409"/>
      <c r="AN285" s="409"/>
      <c r="AO285" s="409"/>
      <c r="AP285" s="409"/>
      <c r="AQ285" s="409"/>
      <c r="AR285" s="410"/>
    </row>
    <row r="286" spans="1:44" ht="18" customHeight="1">
      <c r="C286" s="411"/>
      <c r="D286" s="412"/>
      <c r="E286" s="412"/>
      <c r="F286" s="412"/>
      <c r="G286" s="412"/>
      <c r="H286" s="412"/>
      <c r="I286" s="409"/>
      <c r="J286" s="409"/>
      <c r="K286" s="409"/>
      <c r="L286" s="409"/>
      <c r="M286" s="409"/>
      <c r="N286" s="409"/>
      <c r="O286" s="409"/>
      <c r="P286" s="409"/>
      <c r="Q286" s="409"/>
      <c r="R286" s="409"/>
      <c r="S286" s="409"/>
      <c r="T286" s="409"/>
      <c r="U286" s="409"/>
      <c r="V286" s="409"/>
      <c r="W286" s="409"/>
      <c r="X286" s="409"/>
      <c r="Y286" s="409"/>
      <c r="Z286" s="409"/>
      <c r="AA286" s="409"/>
      <c r="AB286" s="409"/>
      <c r="AC286" s="409"/>
      <c r="AD286" s="409"/>
      <c r="AE286" s="409"/>
      <c r="AF286" s="409"/>
      <c r="AG286" s="409"/>
      <c r="AH286" s="409"/>
      <c r="AI286" s="409"/>
      <c r="AJ286" s="409"/>
      <c r="AK286" s="409"/>
      <c r="AL286" s="409"/>
      <c r="AM286" s="409"/>
      <c r="AN286" s="409"/>
      <c r="AO286" s="409"/>
      <c r="AP286" s="409"/>
      <c r="AQ286" s="409"/>
      <c r="AR286" s="410"/>
    </row>
    <row r="287" spans="1:44" ht="18" customHeight="1">
      <c r="C287" s="385"/>
      <c r="D287" s="386"/>
      <c r="E287" s="386"/>
      <c r="F287" s="386"/>
      <c r="G287" s="386"/>
      <c r="H287" s="386"/>
      <c r="I287" s="387"/>
      <c r="J287" s="387"/>
      <c r="K287" s="387"/>
      <c r="L287" s="387"/>
      <c r="M287" s="387"/>
      <c r="N287" s="387"/>
      <c r="O287" s="387"/>
      <c r="P287" s="387"/>
      <c r="Q287" s="387"/>
      <c r="R287" s="387"/>
      <c r="S287" s="387"/>
      <c r="T287" s="387"/>
      <c r="U287" s="387"/>
      <c r="V287" s="387"/>
      <c r="W287" s="387"/>
      <c r="X287" s="387"/>
      <c r="Y287" s="387"/>
      <c r="Z287" s="387"/>
      <c r="AA287" s="387"/>
      <c r="AB287" s="387"/>
      <c r="AC287" s="387"/>
      <c r="AD287" s="387"/>
      <c r="AE287" s="387"/>
      <c r="AF287" s="387"/>
      <c r="AG287" s="387"/>
      <c r="AH287" s="387"/>
      <c r="AI287" s="387"/>
      <c r="AJ287" s="387"/>
      <c r="AK287" s="387"/>
      <c r="AL287" s="387"/>
      <c r="AM287" s="387"/>
      <c r="AN287" s="387"/>
      <c r="AO287" s="387"/>
      <c r="AP287" s="387"/>
      <c r="AQ287" s="387"/>
      <c r="AR287" s="388"/>
    </row>
    <row r="289" spans="3:44" ht="18" customHeight="1">
      <c r="C289" s="389" t="s">
        <v>100</v>
      </c>
      <c r="D289" s="390"/>
      <c r="E289" s="390"/>
      <c r="F289" s="390"/>
      <c r="G289" s="390"/>
      <c r="H289" s="390"/>
      <c r="I289" s="390"/>
      <c r="J289" s="390"/>
      <c r="K289" s="390"/>
      <c r="L289" s="390"/>
      <c r="M289" s="390"/>
      <c r="N289" s="390"/>
      <c r="O289" s="390"/>
      <c r="P289" s="390"/>
      <c r="Q289" s="390"/>
      <c r="R289" s="390"/>
      <c r="S289" s="390"/>
      <c r="T289" s="390"/>
      <c r="U289" s="390"/>
      <c r="V289" s="390"/>
      <c r="W289" s="390"/>
      <c r="X289" s="390"/>
      <c r="Y289" s="390"/>
      <c r="Z289" s="390"/>
      <c r="AA289" s="391"/>
      <c r="AB289" s="392" t="str">
        <f>[4]C.UNIT.SERV.!$E$5</f>
        <v>DATA-BASE:      MAIO/2011/PR</v>
      </c>
      <c r="AC289" s="393"/>
      <c r="AD289" s="393"/>
      <c r="AE289" s="393"/>
      <c r="AF289" s="393"/>
      <c r="AG289" s="393"/>
      <c r="AH289" s="393"/>
      <c r="AI289" s="394"/>
      <c r="AJ289" s="392"/>
      <c r="AK289" s="393"/>
      <c r="AL289" s="393"/>
      <c r="AM289" s="393"/>
      <c r="AN289" s="393"/>
      <c r="AO289" s="393"/>
      <c r="AP289" s="393"/>
      <c r="AQ289" s="393"/>
      <c r="AR289" s="401"/>
    </row>
    <row r="290" spans="3:44" ht="18" customHeight="1">
      <c r="C290" s="404" t="s">
        <v>101</v>
      </c>
      <c r="D290" s="405"/>
      <c r="E290" s="405"/>
      <c r="F290" s="405"/>
      <c r="G290" s="405" t="s">
        <v>283</v>
      </c>
      <c r="H290" s="405"/>
      <c r="I290" s="405"/>
      <c r="J290" s="405"/>
      <c r="K290" s="405"/>
      <c r="L290" s="405"/>
      <c r="M290" s="405"/>
      <c r="N290" s="405"/>
      <c r="O290" s="405"/>
      <c r="P290" s="405"/>
      <c r="Q290" s="405"/>
      <c r="R290" s="405"/>
      <c r="S290" s="405"/>
      <c r="T290" s="405"/>
      <c r="U290" s="405"/>
      <c r="V290" s="405"/>
      <c r="W290" s="405"/>
      <c r="X290" s="405"/>
      <c r="Y290" s="405"/>
      <c r="Z290" s="405"/>
      <c r="AA290" s="406"/>
      <c r="AB290" s="395"/>
      <c r="AC290" s="396"/>
      <c r="AD290" s="396"/>
      <c r="AE290" s="396"/>
      <c r="AF290" s="396"/>
      <c r="AG290" s="396"/>
      <c r="AH290" s="396"/>
      <c r="AI290" s="397"/>
      <c r="AJ290" s="395"/>
      <c r="AK290" s="396"/>
      <c r="AL290" s="396"/>
      <c r="AM290" s="396"/>
      <c r="AN290" s="396"/>
      <c r="AO290" s="396"/>
      <c r="AP290" s="396"/>
      <c r="AQ290" s="396"/>
      <c r="AR290" s="402"/>
    </row>
    <row r="291" spans="3:44" ht="18" customHeight="1">
      <c r="C291" s="404" t="s">
        <v>102</v>
      </c>
      <c r="D291" s="405"/>
      <c r="E291" s="405"/>
      <c r="F291" s="405"/>
      <c r="G291" s="405"/>
      <c r="H291" s="405"/>
      <c r="I291" s="405"/>
      <c r="J291" s="405"/>
      <c r="K291" s="405"/>
      <c r="L291" s="405"/>
      <c r="M291" s="405"/>
      <c r="N291" s="405"/>
      <c r="O291" s="405"/>
      <c r="P291" s="405"/>
      <c r="Q291" s="405"/>
      <c r="R291" s="405"/>
      <c r="S291" s="405"/>
      <c r="T291" s="405"/>
      <c r="U291" s="405"/>
      <c r="V291" s="405"/>
      <c r="W291" s="405"/>
      <c r="X291" s="405"/>
      <c r="Y291" s="405"/>
      <c r="Z291" s="405"/>
      <c r="AA291" s="406"/>
      <c r="AB291" s="395"/>
      <c r="AC291" s="396"/>
      <c r="AD291" s="396"/>
      <c r="AE291" s="396"/>
      <c r="AF291" s="396"/>
      <c r="AG291" s="396"/>
      <c r="AH291" s="396"/>
      <c r="AI291" s="397"/>
      <c r="AJ291" s="395"/>
      <c r="AK291" s="396"/>
      <c r="AL291" s="396"/>
      <c r="AM291" s="396"/>
      <c r="AN291" s="396"/>
      <c r="AO291" s="396"/>
      <c r="AP291" s="396"/>
      <c r="AQ291" s="396"/>
      <c r="AR291" s="402"/>
    </row>
    <row r="292" spans="3:44" ht="18" customHeight="1">
      <c r="C292" s="407"/>
      <c r="D292" s="408"/>
      <c r="E292" s="408"/>
      <c r="F292" s="408"/>
      <c r="G292" s="408"/>
      <c r="H292" s="408"/>
      <c r="I292" s="408"/>
      <c r="J292" s="408"/>
      <c r="K292" s="408"/>
      <c r="L292" s="408"/>
      <c r="M292" s="408"/>
      <c r="N292" s="408"/>
      <c r="O292" s="408"/>
      <c r="P292" s="408"/>
      <c r="Q292" s="408"/>
      <c r="R292" s="408"/>
      <c r="S292" s="408"/>
      <c r="T292" s="408"/>
      <c r="U292" s="408"/>
      <c r="V292" s="408"/>
      <c r="W292" s="408"/>
      <c r="X292" s="408"/>
      <c r="Y292" s="408"/>
      <c r="Z292" s="408"/>
      <c r="AA292" s="408"/>
      <c r="AB292" s="398"/>
      <c r="AC292" s="399"/>
      <c r="AD292" s="399"/>
      <c r="AE292" s="399"/>
      <c r="AF292" s="399"/>
      <c r="AG292" s="399"/>
      <c r="AH292" s="399"/>
      <c r="AI292" s="400"/>
      <c r="AJ292" s="398"/>
      <c r="AK292" s="399"/>
      <c r="AL292" s="399"/>
      <c r="AM292" s="399"/>
      <c r="AN292" s="399"/>
      <c r="AO292" s="399"/>
      <c r="AP292" s="399"/>
      <c r="AQ292" s="399"/>
      <c r="AR292" s="403"/>
    </row>
    <row r="294" spans="3:44" ht="18" customHeight="1">
      <c r="C294" s="850" t="s">
        <v>64</v>
      </c>
      <c r="D294" s="851"/>
      <c r="E294" s="851"/>
      <c r="F294" s="851"/>
      <c r="G294" s="851"/>
      <c r="H294" s="851"/>
      <c r="I294" s="851"/>
      <c r="J294" s="851"/>
      <c r="K294" s="851"/>
      <c r="L294" s="851"/>
      <c r="M294" s="851"/>
      <c r="N294" s="851"/>
      <c r="O294" s="851"/>
      <c r="P294" s="851"/>
      <c r="Q294" s="851"/>
      <c r="R294" s="851"/>
      <c r="S294" s="851"/>
      <c r="T294" s="851"/>
      <c r="U294" s="851"/>
      <c r="V294" s="851"/>
      <c r="W294" s="851"/>
      <c r="X294" s="851"/>
      <c r="Y294" s="851"/>
      <c r="Z294" s="851"/>
      <c r="AA294" s="851"/>
      <c r="AB294" s="851"/>
      <c r="AC294" s="851"/>
      <c r="AD294" s="851"/>
      <c r="AE294" s="851"/>
      <c r="AF294" s="851"/>
      <c r="AG294" s="851"/>
      <c r="AH294" s="851"/>
      <c r="AI294" s="851"/>
      <c r="AJ294" s="851"/>
      <c r="AK294" s="851"/>
      <c r="AL294" s="851"/>
      <c r="AM294" s="851"/>
      <c r="AN294" s="851"/>
      <c r="AO294" s="851"/>
      <c r="AP294" s="851"/>
      <c r="AQ294" s="851"/>
      <c r="AR294" s="852"/>
    </row>
    <row r="295" spans="3:44" ht="18" customHeight="1">
      <c r="C295" s="853"/>
      <c r="D295" s="854"/>
      <c r="E295" s="854"/>
      <c r="F295" s="854"/>
      <c r="G295" s="854"/>
      <c r="H295" s="854"/>
      <c r="I295" s="854"/>
      <c r="J295" s="854"/>
      <c r="K295" s="854"/>
      <c r="L295" s="854"/>
      <c r="M295" s="854"/>
      <c r="N295" s="854"/>
      <c r="O295" s="854"/>
      <c r="P295" s="854"/>
      <c r="Q295" s="854"/>
      <c r="R295" s="854"/>
      <c r="S295" s="854"/>
      <c r="T295" s="854"/>
      <c r="U295" s="854"/>
      <c r="V295" s="854"/>
      <c r="W295" s="854"/>
      <c r="X295" s="854"/>
      <c r="Y295" s="854"/>
      <c r="Z295" s="854"/>
      <c r="AA295" s="854"/>
      <c r="AB295" s="854"/>
      <c r="AC295" s="854"/>
      <c r="AD295" s="854"/>
      <c r="AE295" s="854"/>
      <c r="AF295" s="854"/>
      <c r="AG295" s="854"/>
      <c r="AH295" s="854"/>
      <c r="AI295" s="854"/>
      <c r="AJ295" s="854"/>
      <c r="AK295" s="854"/>
      <c r="AL295" s="854"/>
      <c r="AM295" s="854"/>
      <c r="AN295" s="854"/>
      <c r="AO295" s="854"/>
      <c r="AP295" s="854"/>
      <c r="AQ295" s="854"/>
      <c r="AR295" s="855"/>
    </row>
    <row r="296" spans="3:44" ht="18" customHeight="1">
      <c r="C296" s="856" t="s">
        <v>65</v>
      </c>
      <c r="D296" s="857"/>
      <c r="E296" s="857"/>
      <c r="F296" s="857"/>
      <c r="G296" s="860" t="s">
        <v>425</v>
      </c>
      <c r="H296" s="860"/>
      <c r="I296" s="860"/>
      <c r="J296" s="861"/>
      <c r="K296" s="864" t="s">
        <v>66</v>
      </c>
      <c r="L296" s="865"/>
      <c r="M296" s="865"/>
      <c r="N296" s="865"/>
      <c r="O296" s="526" t="s">
        <v>430</v>
      </c>
      <c r="P296" s="526"/>
      <c r="Q296" s="526"/>
      <c r="R296" s="526"/>
      <c r="S296" s="526"/>
      <c r="T296" s="526"/>
      <c r="U296" s="526"/>
      <c r="V296" s="526"/>
      <c r="W296" s="526"/>
      <c r="X296" s="526"/>
      <c r="Y296" s="526"/>
      <c r="Z296" s="526"/>
      <c r="AA296" s="526"/>
      <c r="AB296" s="526"/>
      <c r="AC296" s="526"/>
      <c r="AD296" s="526"/>
      <c r="AE296" s="526"/>
      <c r="AF296" s="526"/>
      <c r="AG296" s="526"/>
      <c r="AH296" s="526"/>
      <c r="AI296" s="526"/>
      <c r="AJ296" s="526"/>
      <c r="AK296" s="527"/>
      <c r="AL296" s="864" t="s">
        <v>67</v>
      </c>
      <c r="AM296" s="865"/>
      <c r="AN296" s="865"/>
      <c r="AO296" s="865"/>
      <c r="AP296" s="843" t="s">
        <v>194</v>
      </c>
      <c r="AQ296" s="843"/>
      <c r="AR296" s="844"/>
    </row>
    <row r="297" spans="3:44" ht="18" customHeight="1">
      <c r="C297" s="858"/>
      <c r="D297" s="859"/>
      <c r="E297" s="859"/>
      <c r="F297" s="859"/>
      <c r="G297" s="862"/>
      <c r="H297" s="862"/>
      <c r="I297" s="862"/>
      <c r="J297" s="863"/>
      <c r="K297" s="866"/>
      <c r="L297" s="867"/>
      <c r="M297" s="867"/>
      <c r="N297" s="867"/>
      <c r="O297" s="528"/>
      <c r="P297" s="528"/>
      <c r="Q297" s="528"/>
      <c r="R297" s="528"/>
      <c r="S297" s="528"/>
      <c r="T297" s="528"/>
      <c r="U297" s="528"/>
      <c r="V297" s="528"/>
      <c r="W297" s="528"/>
      <c r="X297" s="528"/>
      <c r="Y297" s="528"/>
      <c r="Z297" s="528"/>
      <c r="AA297" s="528"/>
      <c r="AB297" s="528"/>
      <c r="AC297" s="528"/>
      <c r="AD297" s="528"/>
      <c r="AE297" s="528"/>
      <c r="AF297" s="528"/>
      <c r="AG297" s="528"/>
      <c r="AH297" s="528"/>
      <c r="AI297" s="528"/>
      <c r="AJ297" s="528"/>
      <c r="AK297" s="529"/>
      <c r="AL297" s="866"/>
      <c r="AM297" s="867"/>
      <c r="AN297" s="867"/>
      <c r="AO297" s="867"/>
      <c r="AP297" s="845"/>
      <c r="AQ297" s="845"/>
      <c r="AR297" s="846"/>
    </row>
    <row r="299" spans="3:44" ht="18" customHeight="1">
      <c r="C299" s="794" t="s">
        <v>43</v>
      </c>
      <c r="D299" s="774"/>
      <c r="E299" s="775"/>
      <c r="F299" s="773" t="s">
        <v>68</v>
      </c>
      <c r="G299" s="774"/>
      <c r="H299" s="774"/>
      <c r="I299" s="774"/>
      <c r="J299" s="774"/>
      <c r="K299" s="774"/>
      <c r="L299" s="774"/>
      <c r="M299" s="774"/>
      <c r="N299" s="774"/>
      <c r="O299" s="774"/>
      <c r="P299" s="774"/>
      <c r="Q299" s="774"/>
      <c r="R299" s="774"/>
      <c r="S299" s="774"/>
      <c r="T299" s="774"/>
      <c r="U299" s="775"/>
      <c r="V299" s="773" t="s">
        <v>249</v>
      </c>
      <c r="W299" s="774"/>
      <c r="X299" s="775"/>
      <c r="Y299" s="847" t="s">
        <v>69</v>
      </c>
      <c r="Z299" s="848"/>
      <c r="AA299" s="848"/>
      <c r="AB299" s="848"/>
      <c r="AC299" s="848"/>
      <c r="AD299" s="848"/>
      <c r="AE299" s="848"/>
      <c r="AF299" s="849"/>
      <c r="AG299" s="847" t="s">
        <v>70</v>
      </c>
      <c r="AH299" s="848"/>
      <c r="AI299" s="848"/>
      <c r="AJ299" s="848"/>
      <c r="AK299" s="848"/>
      <c r="AL299" s="848"/>
      <c r="AM299" s="848"/>
      <c r="AN299" s="849"/>
      <c r="AO299" s="773" t="s">
        <v>71</v>
      </c>
      <c r="AP299" s="774"/>
      <c r="AQ299" s="774"/>
      <c r="AR299" s="779"/>
    </row>
    <row r="300" spans="3:44" ht="18" customHeight="1">
      <c r="C300" s="795"/>
      <c r="D300" s="777"/>
      <c r="E300" s="778"/>
      <c r="F300" s="776"/>
      <c r="G300" s="777"/>
      <c r="H300" s="777"/>
      <c r="I300" s="777"/>
      <c r="J300" s="777"/>
      <c r="K300" s="777"/>
      <c r="L300" s="777"/>
      <c r="M300" s="777"/>
      <c r="N300" s="777"/>
      <c r="O300" s="777"/>
      <c r="P300" s="777"/>
      <c r="Q300" s="777"/>
      <c r="R300" s="777"/>
      <c r="S300" s="777"/>
      <c r="T300" s="777"/>
      <c r="U300" s="778"/>
      <c r="V300" s="776"/>
      <c r="W300" s="777"/>
      <c r="X300" s="778"/>
      <c r="Y300" s="834" t="s">
        <v>72</v>
      </c>
      <c r="Z300" s="835"/>
      <c r="AA300" s="835"/>
      <c r="AB300" s="836"/>
      <c r="AC300" s="834" t="s">
        <v>73</v>
      </c>
      <c r="AD300" s="835"/>
      <c r="AE300" s="835"/>
      <c r="AF300" s="836"/>
      <c r="AG300" s="834" t="s">
        <v>72</v>
      </c>
      <c r="AH300" s="835"/>
      <c r="AI300" s="835"/>
      <c r="AJ300" s="836"/>
      <c r="AK300" s="834" t="s">
        <v>73</v>
      </c>
      <c r="AL300" s="835"/>
      <c r="AM300" s="835"/>
      <c r="AN300" s="836"/>
      <c r="AO300" s="776"/>
      <c r="AP300" s="777"/>
      <c r="AQ300" s="777"/>
      <c r="AR300" s="780"/>
    </row>
    <row r="301" spans="3:44" ht="18" customHeight="1">
      <c r="C301" s="781"/>
      <c r="D301" s="782"/>
      <c r="E301" s="783"/>
      <c r="F301" s="493"/>
      <c r="G301" s="493"/>
      <c r="H301" s="493"/>
      <c r="I301" s="493"/>
      <c r="J301" s="493"/>
      <c r="K301" s="493"/>
      <c r="L301" s="493"/>
      <c r="M301" s="493"/>
      <c r="N301" s="493"/>
      <c r="O301" s="493"/>
      <c r="P301" s="493"/>
      <c r="Q301" s="493"/>
      <c r="R301" s="493"/>
      <c r="S301" s="493"/>
      <c r="T301" s="493"/>
      <c r="U301" s="493"/>
      <c r="V301" s="837"/>
      <c r="W301" s="838"/>
      <c r="X301" s="839"/>
      <c r="Y301" s="837"/>
      <c r="Z301" s="838"/>
      <c r="AA301" s="838"/>
      <c r="AB301" s="839"/>
      <c r="AC301" s="868"/>
      <c r="AD301" s="869"/>
      <c r="AE301" s="869"/>
      <c r="AF301" s="870"/>
      <c r="AG301" s="491"/>
      <c r="AH301" s="491"/>
      <c r="AI301" s="491"/>
      <c r="AJ301" s="491"/>
      <c r="AK301" s="491"/>
      <c r="AL301" s="491"/>
      <c r="AM301" s="491"/>
      <c r="AN301" s="491"/>
      <c r="AO301" s="491"/>
      <c r="AP301" s="491"/>
      <c r="AQ301" s="491"/>
      <c r="AR301" s="492"/>
    </row>
    <row r="302" spans="3:44" ht="18" customHeight="1">
      <c r="C302" s="758"/>
      <c r="D302" s="759"/>
      <c r="E302" s="760"/>
      <c r="F302" s="493"/>
      <c r="G302" s="493"/>
      <c r="H302" s="493"/>
      <c r="I302" s="493"/>
      <c r="J302" s="493"/>
      <c r="K302" s="493"/>
      <c r="L302" s="493"/>
      <c r="M302" s="493"/>
      <c r="N302" s="493"/>
      <c r="O302" s="493"/>
      <c r="P302" s="493"/>
      <c r="Q302" s="493"/>
      <c r="R302" s="493"/>
      <c r="S302" s="493"/>
      <c r="T302" s="493"/>
      <c r="U302" s="493"/>
      <c r="V302" s="466"/>
      <c r="W302" s="467"/>
      <c r="X302" s="468"/>
      <c r="Y302" s="466"/>
      <c r="Z302" s="467"/>
      <c r="AA302" s="467"/>
      <c r="AB302" s="468"/>
      <c r="AC302" s="828"/>
      <c r="AD302" s="829"/>
      <c r="AE302" s="829"/>
      <c r="AF302" s="830"/>
      <c r="AG302" s="491"/>
      <c r="AH302" s="491"/>
      <c r="AI302" s="491"/>
      <c r="AJ302" s="491"/>
      <c r="AK302" s="491"/>
      <c r="AL302" s="491"/>
      <c r="AM302" s="491"/>
      <c r="AN302" s="491"/>
      <c r="AO302" s="491"/>
      <c r="AP302" s="491"/>
      <c r="AQ302" s="491"/>
      <c r="AR302" s="492"/>
    </row>
    <row r="303" spans="3:44" ht="18" customHeight="1">
      <c r="C303" s="758"/>
      <c r="D303" s="759"/>
      <c r="E303" s="760"/>
      <c r="F303" s="493"/>
      <c r="G303" s="493"/>
      <c r="H303" s="493"/>
      <c r="I303" s="493"/>
      <c r="J303" s="493"/>
      <c r="K303" s="493"/>
      <c r="L303" s="493"/>
      <c r="M303" s="493"/>
      <c r="N303" s="493"/>
      <c r="O303" s="493"/>
      <c r="P303" s="493"/>
      <c r="Q303" s="493"/>
      <c r="R303" s="493"/>
      <c r="S303" s="493"/>
      <c r="T303" s="493"/>
      <c r="U303" s="493"/>
      <c r="V303" s="466"/>
      <c r="W303" s="467"/>
      <c r="X303" s="468"/>
      <c r="Y303" s="466"/>
      <c r="Z303" s="467"/>
      <c r="AA303" s="467"/>
      <c r="AB303" s="468"/>
      <c r="AC303" s="828"/>
      <c r="AD303" s="829"/>
      <c r="AE303" s="829"/>
      <c r="AF303" s="830"/>
      <c r="AG303" s="491"/>
      <c r="AH303" s="491"/>
      <c r="AI303" s="491"/>
      <c r="AJ303" s="491"/>
      <c r="AK303" s="491"/>
      <c r="AL303" s="491"/>
      <c r="AM303" s="491"/>
      <c r="AN303" s="491"/>
      <c r="AO303" s="491"/>
      <c r="AP303" s="491"/>
      <c r="AQ303" s="491"/>
      <c r="AR303" s="492"/>
    </row>
    <row r="304" spans="3:44" ht="18" customHeight="1">
      <c r="C304" s="758"/>
      <c r="D304" s="759"/>
      <c r="E304" s="760"/>
      <c r="F304" s="493"/>
      <c r="G304" s="493"/>
      <c r="H304" s="493"/>
      <c r="I304" s="493"/>
      <c r="J304" s="493"/>
      <c r="K304" s="493"/>
      <c r="L304" s="493"/>
      <c r="M304" s="493"/>
      <c r="N304" s="493"/>
      <c r="O304" s="493"/>
      <c r="P304" s="493"/>
      <c r="Q304" s="493"/>
      <c r="R304" s="493"/>
      <c r="S304" s="493"/>
      <c r="T304" s="493"/>
      <c r="U304" s="493"/>
      <c r="V304" s="466"/>
      <c r="W304" s="467"/>
      <c r="X304" s="468"/>
      <c r="Y304" s="466"/>
      <c r="Z304" s="467"/>
      <c r="AA304" s="467"/>
      <c r="AB304" s="468"/>
      <c r="AC304" s="828"/>
      <c r="AD304" s="829"/>
      <c r="AE304" s="829"/>
      <c r="AF304" s="830"/>
      <c r="AG304" s="491"/>
      <c r="AH304" s="491"/>
      <c r="AI304" s="491"/>
      <c r="AJ304" s="491"/>
      <c r="AK304" s="491"/>
      <c r="AL304" s="491"/>
      <c r="AM304" s="491"/>
      <c r="AN304" s="491"/>
      <c r="AO304" s="491"/>
      <c r="AP304" s="491"/>
      <c r="AQ304" s="491"/>
      <c r="AR304" s="492"/>
    </row>
    <row r="305" spans="3:44" ht="18" customHeight="1">
      <c r="C305" s="758"/>
      <c r="D305" s="759"/>
      <c r="E305" s="760"/>
      <c r="F305" s="493"/>
      <c r="G305" s="493"/>
      <c r="H305" s="493"/>
      <c r="I305" s="493"/>
      <c r="J305" s="493"/>
      <c r="K305" s="493"/>
      <c r="L305" s="493"/>
      <c r="M305" s="493"/>
      <c r="N305" s="493"/>
      <c r="O305" s="493"/>
      <c r="P305" s="493"/>
      <c r="Q305" s="493"/>
      <c r="R305" s="493"/>
      <c r="S305" s="493"/>
      <c r="T305" s="493"/>
      <c r="U305" s="493"/>
      <c r="V305" s="466"/>
      <c r="W305" s="467"/>
      <c r="X305" s="468"/>
      <c r="Y305" s="466"/>
      <c r="Z305" s="467"/>
      <c r="AA305" s="467"/>
      <c r="AB305" s="468"/>
      <c r="AC305" s="828"/>
      <c r="AD305" s="829"/>
      <c r="AE305" s="829"/>
      <c r="AF305" s="830"/>
      <c r="AG305" s="491"/>
      <c r="AH305" s="491"/>
      <c r="AI305" s="491"/>
      <c r="AJ305" s="491"/>
      <c r="AK305" s="491"/>
      <c r="AL305" s="491"/>
      <c r="AM305" s="491"/>
      <c r="AN305" s="491"/>
      <c r="AO305" s="491"/>
      <c r="AP305" s="491"/>
      <c r="AQ305" s="491"/>
      <c r="AR305" s="492"/>
    </row>
    <row r="306" spans="3:44" ht="18" customHeight="1">
      <c r="C306" s="758"/>
      <c r="D306" s="759"/>
      <c r="E306" s="760"/>
      <c r="F306" s="493"/>
      <c r="G306" s="493"/>
      <c r="H306" s="493"/>
      <c r="I306" s="493"/>
      <c r="J306" s="493"/>
      <c r="K306" s="493"/>
      <c r="L306" s="493"/>
      <c r="M306" s="493"/>
      <c r="N306" s="493"/>
      <c r="O306" s="493"/>
      <c r="P306" s="493"/>
      <c r="Q306" s="493"/>
      <c r="R306" s="493"/>
      <c r="S306" s="493"/>
      <c r="T306" s="493"/>
      <c r="U306" s="493"/>
      <c r="V306" s="466"/>
      <c r="W306" s="467"/>
      <c r="X306" s="468"/>
      <c r="Y306" s="466"/>
      <c r="Z306" s="467"/>
      <c r="AA306" s="467"/>
      <c r="AB306" s="468"/>
      <c r="AC306" s="828"/>
      <c r="AD306" s="829"/>
      <c r="AE306" s="829"/>
      <c r="AF306" s="830"/>
      <c r="AG306" s="491"/>
      <c r="AH306" s="491"/>
      <c r="AI306" s="491"/>
      <c r="AJ306" s="491"/>
      <c r="AK306" s="491"/>
      <c r="AL306" s="491"/>
      <c r="AM306" s="491"/>
      <c r="AN306" s="491"/>
      <c r="AO306" s="491"/>
      <c r="AP306" s="491"/>
      <c r="AQ306" s="491"/>
      <c r="AR306" s="492"/>
    </row>
    <row r="307" spans="3:44" ht="18" customHeight="1">
      <c r="C307" s="758"/>
      <c r="D307" s="759"/>
      <c r="E307" s="760"/>
      <c r="F307" s="796"/>
      <c r="G307" s="797"/>
      <c r="H307" s="797"/>
      <c r="I307" s="797"/>
      <c r="J307" s="797"/>
      <c r="K307" s="797"/>
      <c r="L307" s="797"/>
      <c r="M307" s="797"/>
      <c r="N307" s="797"/>
      <c r="O307" s="797"/>
      <c r="P307" s="797"/>
      <c r="Q307" s="797"/>
      <c r="R307" s="797"/>
      <c r="S307" s="797"/>
      <c r="T307" s="797"/>
      <c r="U307" s="798"/>
      <c r="V307" s="466"/>
      <c r="W307" s="467"/>
      <c r="X307" s="468"/>
      <c r="Y307" s="466"/>
      <c r="Z307" s="467"/>
      <c r="AA307" s="467"/>
      <c r="AB307" s="468"/>
      <c r="AC307" s="828"/>
      <c r="AD307" s="829"/>
      <c r="AE307" s="829"/>
      <c r="AF307" s="830"/>
      <c r="AG307" s="466"/>
      <c r="AH307" s="467"/>
      <c r="AI307" s="467"/>
      <c r="AJ307" s="468"/>
      <c r="AK307" s="466"/>
      <c r="AL307" s="467"/>
      <c r="AM307" s="467"/>
      <c r="AN307" s="468"/>
      <c r="AO307" s="466"/>
      <c r="AP307" s="467"/>
      <c r="AQ307" s="467"/>
      <c r="AR307" s="823"/>
    </row>
    <row r="308" spans="3:44" ht="18" customHeight="1">
      <c r="C308" s="758"/>
      <c r="D308" s="759"/>
      <c r="E308" s="760"/>
      <c r="F308" s="796"/>
      <c r="G308" s="797"/>
      <c r="H308" s="797"/>
      <c r="I308" s="797"/>
      <c r="J308" s="797"/>
      <c r="K308" s="797"/>
      <c r="L308" s="797"/>
      <c r="M308" s="797"/>
      <c r="N308" s="797"/>
      <c r="O308" s="797"/>
      <c r="P308" s="797"/>
      <c r="Q308" s="797"/>
      <c r="R308" s="797"/>
      <c r="S308" s="797"/>
      <c r="T308" s="797"/>
      <c r="U308" s="798"/>
      <c r="V308" s="466"/>
      <c r="W308" s="467"/>
      <c r="X308" s="468"/>
      <c r="Y308" s="466"/>
      <c r="Z308" s="467"/>
      <c r="AA308" s="467"/>
      <c r="AB308" s="468"/>
      <c r="AC308" s="828"/>
      <c r="AD308" s="829"/>
      <c r="AE308" s="829"/>
      <c r="AF308" s="830"/>
      <c r="AG308" s="466"/>
      <c r="AH308" s="467"/>
      <c r="AI308" s="467"/>
      <c r="AJ308" s="468"/>
      <c r="AK308" s="466"/>
      <c r="AL308" s="467"/>
      <c r="AM308" s="467"/>
      <c r="AN308" s="468"/>
      <c r="AO308" s="466"/>
      <c r="AP308" s="467"/>
      <c r="AQ308" s="467"/>
      <c r="AR308" s="823"/>
    </row>
    <row r="309" spans="3:44" ht="18" customHeight="1">
      <c r="C309" s="743"/>
      <c r="D309" s="744"/>
      <c r="E309" s="744"/>
      <c r="F309" s="744"/>
      <c r="G309" s="744"/>
      <c r="H309" s="744"/>
      <c r="I309" s="744"/>
      <c r="J309" s="744"/>
      <c r="K309" s="744"/>
      <c r="L309" s="744"/>
      <c r="M309" s="744"/>
      <c r="N309" s="744"/>
      <c r="O309" s="744"/>
      <c r="P309" s="744"/>
      <c r="Q309" s="744"/>
      <c r="R309" s="744"/>
      <c r="S309" s="744"/>
      <c r="T309" s="744"/>
      <c r="U309" s="744"/>
      <c r="V309" s="744"/>
      <c r="W309" s="744"/>
      <c r="X309" s="824"/>
      <c r="Y309" s="825" t="s">
        <v>74</v>
      </c>
      <c r="Z309" s="826"/>
      <c r="AA309" s="826"/>
      <c r="AB309" s="826"/>
      <c r="AC309" s="826"/>
      <c r="AD309" s="826"/>
      <c r="AE309" s="826"/>
      <c r="AF309" s="826"/>
      <c r="AG309" s="826"/>
      <c r="AH309" s="826"/>
      <c r="AI309" s="826"/>
      <c r="AJ309" s="826"/>
      <c r="AK309" s="826"/>
      <c r="AL309" s="826"/>
      <c r="AM309" s="826"/>
      <c r="AN309" s="827"/>
      <c r="AO309" s="477">
        <f>SUM(AO301:AR308)</f>
        <v>0</v>
      </c>
      <c r="AP309" s="746"/>
      <c r="AQ309" s="746"/>
      <c r="AR309" s="747"/>
    </row>
    <row r="311" spans="3:44" ht="18" customHeight="1">
      <c r="C311" s="794" t="s">
        <v>43</v>
      </c>
      <c r="D311" s="774"/>
      <c r="E311" s="775"/>
      <c r="F311" s="773" t="s">
        <v>75</v>
      </c>
      <c r="G311" s="774"/>
      <c r="H311" s="774"/>
      <c r="I311" s="774"/>
      <c r="J311" s="774"/>
      <c r="K311" s="774"/>
      <c r="L311" s="774"/>
      <c r="M311" s="774"/>
      <c r="N311" s="774"/>
      <c r="O311" s="774"/>
      <c r="P311" s="774"/>
      <c r="Q311" s="774"/>
      <c r="R311" s="774"/>
      <c r="S311" s="774"/>
      <c r="T311" s="774"/>
      <c r="U311" s="774"/>
      <c r="V311" s="774"/>
      <c r="W311" s="774"/>
      <c r="X311" s="774"/>
      <c r="Y311" s="774"/>
      <c r="Z311" s="774"/>
      <c r="AA311" s="774"/>
      <c r="AB311" s="775"/>
      <c r="AC311" s="773" t="s">
        <v>76</v>
      </c>
      <c r="AD311" s="774"/>
      <c r="AE311" s="774"/>
      <c r="AF311" s="775"/>
      <c r="AG311" s="773" t="s">
        <v>249</v>
      </c>
      <c r="AH311" s="774"/>
      <c r="AI311" s="774"/>
      <c r="AJ311" s="775"/>
      <c r="AK311" s="773" t="s">
        <v>77</v>
      </c>
      <c r="AL311" s="774"/>
      <c r="AM311" s="774"/>
      <c r="AN311" s="775"/>
      <c r="AO311" s="773" t="s">
        <v>71</v>
      </c>
      <c r="AP311" s="774"/>
      <c r="AQ311" s="774"/>
      <c r="AR311" s="779"/>
    </row>
    <row r="312" spans="3:44" ht="18" customHeight="1">
      <c r="C312" s="795"/>
      <c r="D312" s="777"/>
      <c r="E312" s="778"/>
      <c r="F312" s="776"/>
      <c r="G312" s="777"/>
      <c r="H312" s="777"/>
      <c r="I312" s="777"/>
      <c r="J312" s="777"/>
      <c r="K312" s="777"/>
      <c r="L312" s="777"/>
      <c r="M312" s="777"/>
      <c r="N312" s="777"/>
      <c r="O312" s="777"/>
      <c r="P312" s="777"/>
      <c r="Q312" s="777"/>
      <c r="R312" s="777"/>
      <c r="S312" s="777"/>
      <c r="T312" s="777"/>
      <c r="U312" s="777"/>
      <c r="V312" s="777"/>
      <c r="W312" s="777"/>
      <c r="X312" s="777"/>
      <c r="Y312" s="777"/>
      <c r="Z312" s="777"/>
      <c r="AA312" s="777"/>
      <c r="AB312" s="778"/>
      <c r="AC312" s="776"/>
      <c r="AD312" s="777"/>
      <c r="AE312" s="777"/>
      <c r="AF312" s="778"/>
      <c r="AG312" s="776"/>
      <c r="AH312" s="777"/>
      <c r="AI312" s="777"/>
      <c r="AJ312" s="778"/>
      <c r="AK312" s="776"/>
      <c r="AL312" s="777"/>
      <c r="AM312" s="777"/>
      <c r="AN312" s="778"/>
      <c r="AO312" s="776"/>
      <c r="AP312" s="777"/>
      <c r="AQ312" s="777"/>
      <c r="AR312" s="780"/>
    </row>
    <row r="313" spans="3:44" ht="18" customHeight="1">
      <c r="C313" s="781" t="s">
        <v>940</v>
      </c>
      <c r="D313" s="782"/>
      <c r="E313" s="783"/>
      <c r="F313" s="493" t="s">
        <v>105</v>
      </c>
      <c r="G313" s="493"/>
      <c r="H313" s="493"/>
      <c r="I313" s="493"/>
      <c r="J313" s="493"/>
      <c r="K313" s="493"/>
      <c r="L313" s="493"/>
      <c r="M313" s="493"/>
      <c r="N313" s="493"/>
      <c r="O313" s="493"/>
      <c r="P313" s="493"/>
      <c r="Q313" s="493"/>
      <c r="R313" s="493"/>
      <c r="S313" s="493"/>
      <c r="T313" s="493"/>
      <c r="U313" s="493"/>
      <c r="V313" s="493"/>
      <c r="W313" s="493"/>
      <c r="X313" s="493"/>
      <c r="Y313" s="493"/>
      <c r="Z313" s="493"/>
      <c r="AA313" s="493"/>
      <c r="AB313" s="493"/>
      <c r="AC313" s="770"/>
      <c r="AD313" s="771"/>
      <c r="AE313" s="771"/>
      <c r="AF313" s="790"/>
      <c r="AG313" s="770">
        <v>3</v>
      </c>
      <c r="AH313" s="771"/>
      <c r="AI313" s="771"/>
      <c r="AJ313" s="790"/>
      <c r="AK313" s="449">
        <f>VLOOKUP(C313,[4]MÃODEOBRA!A$1:D$65536,4,FALSE)</f>
        <v>22.98488</v>
      </c>
      <c r="AL313" s="449"/>
      <c r="AM313" s="449"/>
      <c r="AN313" s="449"/>
      <c r="AO313" s="491">
        <f>ROUND(AG313*AK313,2)</f>
        <v>68.95</v>
      </c>
      <c r="AP313" s="491"/>
      <c r="AQ313" s="491"/>
      <c r="AR313" s="492"/>
    </row>
    <row r="314" spans="3:44" ht="18" customHeight="1">
      <c r="C314" s="758"/>
      <c r="D314" s="759"/>
      <c r="E314" s="760"/>
      <c r="F314" s="493"/>
      <c r="G314" s="493"/>
      <c r="H314" s="493"/>
      <c r="I314" s="493"/>
      <c r="J314" s="493"/>
      <c r="K314" s="493"/>
      <c r="L314" s="493"/>
      <c r="M314" s="493"/>
      <c r="N314" s="493"/>
      <c r="O314" s="493"/>
      <c r="P314" s="493"/>
      <c r="Q314" s="493"/>
      <c r="R314" s="493"/>
      <c r="S314" s="493"/>
      <c r="T314" s="493"/>
      <c r="U314" s="493"/>
      <c r="V314" s="493"/>
      <c r="W314" s="493"/>
      <c r="X314" s="493"/>
      <c r="Y314" s="493"/>
      <c r="Z314" s="493"/>
      <c r="AA314" s="493"/>
      <c r="AB314" s="493"/>
      <c r="AC314" s="740"/>
      <c r="AD314" s="741"/>
      <c r="AE314" s="741"/>
      <c r="AF314" s="757"/>
      <c r="AG314" s="740"/>
      <c r="AH314" s="741"/>
      <c r="AI314" s="741"/>
      <c r="AJ314" s="757"/>
      <c r="AK314" s="449"/>
      <c r="AL314" s="449"/>
      <c r="AM314" s="449"/>
      <c r="AN314" s="449"/>
      <c r="AO314" s="491"/>
      <c r="AP314" s="491"/>
      <c r="AQ314" s="491"/>
      <c r="AR314" s="492"/>
    </row>
    <row r="315" spans="3:44" ht="18" customHeight="1">
      <c r="C315" s="758"/>
      <c r="D315" s="759"/>
      <c r="E315" s="760"/>
      <c r="F315" s="796"/>
      <c r="G315" s="797"/>
      <c r="H315" s="797"/>
      <c r="I315" s="797"/>
      <c r="J315" s="797"/>
      <c r="K315" s="797"/>
      <c r="L315" s="797"/>
      <c r="M315" s="797"/>
      <c r="N315" s="797"/>
      <c r="O315" s="797"/>
      <c r="P315" s="797"/>
      <c r="Q315" s="797"/>
      <c r="R315" s="797"/>
      <c r="S315" s="797"/>
      <c r="T315" s="797"/>
      <c r="U315" s="797"/>
      <c r="V315" s="797"/>
      <c r="W315" s="797"/>
      <c r="X315" s="797"/>
      <c r="Y315" s="797"/>
      <c r="Z315" s="797"/>
      <c r="AA315" s="797"/>
      <c r="AB315" s="798"/>
      <c r="AC315" s="740"/>
      <c r="AD315" s="741"/>
      <c r="AE315" s="741"/>
      <c r="AF315" s="757"/>
      <c r="AG315" s="740"/>
      <c r="AH315" s="741"/>
      <c r="AI315" s="741"/>
      <c r="AJ315" s="757"/>
      <c r="AK315" s="740"/>
      <c r="AL315" s="741"/>
      <c r="AM315" s="741"/>
      <c r="AN315" s="757"/>
      <c r="AO315" s="466"/>
      <c r="AP315" s="467"/>
      <c r="AQ315" s="467"/>
      <c r="AR315" s="823"/>
    </row>
    <row r="316" spans="3:44" ht="18" customHeight="1">
      <c r="C316" s="758"/>
      <c r="D316" s="759"/>
      <c r="E316" s="760"/>
      <c r="F316" s="796"/>
      <c r="G316" s="797"/>
      <c r="H316" s="797"/>
      <c r="I316" s="797"/>
      <c r="J316" s="797"/>
      <c r="K316" s="797"/>
      <c r="L316" s="797"/>
      <c r="M316" s="797"/>
      <c r="N316" s="797"/>
      <c r="O316" s="797"/>
      <c r="P316" s="797"/>
      <c r="Q316" s="797"/>
      <c r="R316" s="797"/>
      <c r="S316" s="797"/>
      <c r="T316" s="797"/>
      <c r="U316" s="797"/>
      <c r="V316" s="797"/>
      <c r="W316" s="797"/>
      <c r="X316" s="797"/>
      <c r="Y316" s="797"/>
      <c r="Z316" s="797"/>
      <c r="AA316" s="797"/>
      <c r="AB316" s="798"/>
      <c r="AC316" s="740"/>
      <c r="AD316" s="741"/>
      <c r="AE316" s="741"/>
      <c r="AF316" s="757"/>
      <c r="AG316" s="740"/>
      <c r="AH316" s="741"/>
      <c r="AI316" s="741"/>
      <c r="AJ316" s="757"/>
      <c r="AK316" s="740"/>
      <c r="AL316" s="741"/>
      <c r="AM316" s="741"/>
      <c r="AN316" s="757"/>
      <c r="AO316" s="466"/>
      <c r="AP316" s="467"/>
      <c r="AQ316" s="467"/>
      <c r="AR316" s="823"/>
    </row>
    <row r="317" spans="3:44" ht="18" customHeight="1">
      <c r="C317" s="758"/>
      <c r="D317" s="759"/>
      <c r="E317" s="760"/>
      <c r="F317" s="796"/>
      <c r="G317" s="797"/>
      <c r="H317" s="797"/>
      <c r="I317" s="797"/>
      <c r="J317" s="797"/>
      <c r="K317" s="797"/>
      <c r="L317" s="797"/>
      <c r="M317" s="797"/>
      <c r="N317" s="797"/>
      <c r="O317" s="797"/>
      <c r="P317" s="797"/>
      <c r="Q317" s="797"/>
      <c r="R317" s="797"/>
      <c r="S317" s="797"/>
      <c r="T317" s="797"/>
      <c r="U317" s="797"/>
      <c r="V317" s="797"/>
      <c r="W317" s="797"/>
      <c r="X317" s="797"/>
      <c r="Y317" s="797"/>
      <c r="Z317" s="797"/>
      <c r="AA317" s="797"/>
      <c r="AB317" s="798"/>
      <c r="AC317" s="740"/>
      <c r="AD317" s="741"/>
      <c r="AE317" s="741"/>
      <c r="AF317" s="757"/>
      <c r="AG317" s="740"/>
      <c r="AH317" s="741"/>
      <c r="AI317" s="741"/>
      <c r="AJ317" s="757"/>
      <c r="AK317" s="740"/>
      <c r="AL317" s="741"/>
      <c r="AM317" s="741"/>
      <c r="AN317" s="757"/>
      <c r="AO317" s="466"/>
      <c r="AP317" s="467"/>
      <c r="AQ317" s="467"/>
      <c r="AR317" s="823"/>
    </row>
    <row r="318" spans="3:44" ht="18" customHeight="1">
      <c r="C318" s="758"/>
      <c r="D318" s="759"/>
      <c r="E318" s="760"/>
      <c r="F318" s="796"/>
      <c r="G318" s="797"/>
      <c r="H318" s="797"/>
      <c r="I318" s="797"/>
      <c r="J318" s="797"/>
      <c r="K318" s="797"/>
      <c r="L318" s="797"/>
      <c r="M318" s="797"/>
      <c r="N318" s="797"/>
      <c r="O318" s="797"/>
      <c r="P318" s="797"/>
      <c r="Q318" s="797"/>
      <c r="R318" s="797"/>
      <c r="S318" s="797"/>
      <c r="T318" s="797"/>
      <c r="U318" s="797"/>
      <c r="V318" s="797"/>
      <c r="W318" s="797"/>
      <c r="X318" s="797"/>
      <c r="Y318" s="797"/>
      <c r="Z318" s="797"/>
      <c r="AA318" s="797"/>
      <c r="AB318" s="798"/>
      <c r="AC318" s="740"/>
      <c r="AD318" s="741"/>
      <c r="AE318" s="741"/>
      <c r="AF318" s="757"/>
      <c r="AG318" s="740"/>
      <c r="AH318" s="741"/>
      <c r="AI318" s="741"/>
      <c r="AJ318" s="757"/>
      <c r="AK318" s="740"/>
      <c r="AL318" s="741"/>
      <c r="AM318" s="741"/>
      <c r="AN318" s="757"/>
      <c r="AO318" s="466"/>
      <c r="AP318" s="467"/>
      <c r="AQ318" s="467"/>
      <c r="AR318" s="823"/>
    </row>
    <row r="319" spans="3:44" ht="18" customHeight="1">
      <c r="C319" s="758"/>
      <c r="D319" s="759"/>
      <c r="E319" s="760"/>
      <c r="F319" s="796"/>
      <c r="G319" s="797"/>
      <c r="H319" s="797"/>
      <c r="I319" s="797"/>
      <c r="J319" s="797"/>
      <c r="K319" s="797"/>
      <c r="L319" s="797"/>
      <c r="M319" s="797"/>
      <c r="N319" s="797"/>
      <c r="O319" s="797"/>
      <c r="P319" s="797"/>
      <c r="Q319" s="797"/>
      <c r="R319" s="797"/>
      <c r="S319" s="797"/>
      <c r="T319" s="797"/>
      <c r="U319" s="797"/>
      <c r="V319" s="797"/>
      <c r="W319" s="797"/>
      <c r="X319" s="797"/>
      <c r="Y319" s="797"/>
      <c r="Z319" s="797"/>
      <c r="AA319" s="797"/>
      <c r="AB319" s="798"/>
      <c r="AC319" s="740"/>
      <c r="AD319" s="741"/>
      <c r="AE319" s="741"/>
      <c r="AF319" s="757"/>
      <c r="AG319" s="740"/>
      <c r="AH319" s="741"/>
      <c r="AI319" s="741"/>
      <c r="AJ319" s="757"/>
      <c r="AK319" s="740"/>
      <c r="AL319" s="741"/>
      <c r="AM319" s="741"/>
      <c r="AN319" s="757"/>
      <c r="AO319" s="466"/>
      <c r="AP319" s="467"/>
      <c r="AQ319" s="467"/>
      <c r="AR319" s="823"/>
    </row>
    <row r="320" spans="3:44" ht="18" customHeight="1">
      <c r="C320" s="758"/>
      <c r="D320" s="759"/>
      <c r="E320" s="760"/>
      <c r="F320" s="796"/>
      <c r="G320" s="797"/>
      <c r="H320" s="797"/>
      <c r="I320" s="797"/>
      <c r="J320" s="797"/>
      <c r="K320" s="797"/>
      <c r="L320" s="797"/>
      <c r="M320" s="797"/>
      <c r="N320" s="797"/>
      <c r="O320" s="797"/>
      <c r="P320" s="797"/>
      <c r="Q320" s="797"/>
      <c r="R320" s="797"/>
      <c r="S320" s="797"/>
      <c r="T320" s="797"/>
      <c r="U320" s="797"/>
      <c r="V320" s="797"/>
      <c r="W320" s="797"/>
      <c r="X320" s="797"/>
      <c r="Y320" s="797"/>
      <c r="Z320" s="797"/>
      <c r="AA320" s="797"/>
      <c r="AB320" s="798"/>
      <c r="AC320" s="740"/>
      <c r="AD320" s="741"/>
      <c r="AE320" s="741"/>
      <c r="AF320" s="757"/>
      <c r="AG320" s="740"/>
      <c r="AH320" s="741"/>
      <c r="AI320" s="741"/>
      <c r="AJ320" s="757"/>
      <c r="AK320" s="740"/>
      <c r="AL320" s="741"/>
      <c r="AM320" s="741"/>
      <c r="AN320" s="757"/>
      <c r="AO320" s="466"/>
      <c r="AP320" s="467"/>
      <c r="AQ320" s="467"/>
      <c r="AR320" s="823"/>
    </row>
    <row r="321" spans="3:44" ht="18" customHeight="1">
      <c r="C321" s="814"/>
      <c r="D321" s="815"/>
      <c r="E321" s="815"/>
      <c r="F321" s="815"/>
      <c r="G321" s="815"/>
      <c r="H321" s="815"/>
      <c r="I321" s="815"/>
      <c r="J321" s="815"/>
      <c r="K321" s="815"/>
      <c r="L321" s="815"/>
      <c r="M321" s="815"/>
      <c r="N321" s="815"/>
      <c r="O321" s="815"/>
      <c r="P321" s="815"/>
      <c r="Q321" s="815"/>
      <c r="R321" s="815"/>
      <c r="S321" s="815"/>
      <c r="T321" s="815"/>
      <c r="U321" s="815"/>
      <c r="V321" s="815"/>
      <c r="W321" s="815"/>
      <c r="X321" s="815"/>
      <c r="Y321" s="816" t="s">
        <v>78</v>
      </c>
      <c r="Z321" s="816"/>
      <c r="AA321" s="816"/>
      <c r="AB321" s="816"/>
      <c r="AC321" s="816"/>
      <c r="AD321" s="816"/>
      <c r="AE321" s="816"/>
      <c r="AF321" s="483"/>
      <c r="AG321" s="817" t="s">
        <v>267</v>
      </c>
      <c r="AH321" s="818"/>
      <c r="AI321" s="818"/>
      <c r="AJ321" s="819"/>
      <c r="AK321" s="466">
        <f>SUM(AO313:AR320)</f>
        <v>68.95</v>
      </c>
      <c r="AL321" s="467"/>
      <c r="AM321" s="467"/>
      <c r="AN321" s="468"/>
      <c r="AO321" s="820">
        <f>ROUND(AG321*AK321,2)</f>
        <v>14.14</v>
      </c>
      <c r="AP321" s="821"/>
      <c r="AQ321" s="821"/>
      <c r="AR321" s="822"/>
    </row>
    <row r="322" spans="3:44" ht="18" customHeight="1">
      <c r="C322" s="743"/>
      <c r="D322" s="744"/>
      <c r="E322" s="744"/>
      <c r="F322" s="744"/>
      <c r="G322" s="744"/>
      <c r="H322" s="744"/>
      <c r="I322" s="744"/>
      <c r="J322" s="744"/>
      <c r="K322" s="744"/>
      <c r="L322" s="744"/>
      <c r="M322" s="744"/>
      <c r="N322" s="744"/>
      <c r="O322" s="744"/>
      <c r="P322" s="744"/>
      <c r="Q322" s="744"/>
      <c r="R322" s="744"/>
      <c r="S322" s="744"/>
      <c r="T322" s="744"/>
      <c r="U322" s="744"/>
      <c r="V322" s="744"/>
      <c r="W322" s="744"/>
      <c r="X322" s="744"/>
      <c r="Y322" s="745" t="s">
        <v>79</v>
      </c>
      <c r="Z322" s="745"/>
      <c r="AA322" s="745"/>
      <c r="AB322" s="745"/>
      <c r="AC322" s="745"/>
      <c r="AD322" s="745"/>
      <c r="AE322" s="745"/>
      <c r="AF322" s="745"/>
      <c r="AG322" s="745"/>
      <c r="AH322" s="745"/>
      <c r="AI322" s="745"/>
      <c r="AJ322" s="745"/>
      <c r="AK322" s="745"/>
      <c r="AL322" s="745"/>
      <c r="AM322" s="745"/>
      <c r="AN322" s="430"/>
      <c r="AO322" s="477">
        <f>SUM(AO313:AR321)</f>
        <v>83.09</v>
      </c>
      <c r="AP322" s="746"/>
      <c r="AQ322" s="746"/>
      <c r="AR322" s="747"/>
    </row>
    <row r="324" spans="3:44" ht="18" customHeight="1">
      <c r="C324" s="802"/>
      <c r="D324" s="803"/>
      <c r="E324" s="803"/>
      <c r="F324" s="803"/>
      <c r="G324" s="803"/>
      <c r="H324" s="803"/>
      <c r="I324" s="803"/>
      <c r="J324" s="803"/>
      <c r="K324" s="803"/>
      <c r="L324" s="803"/>
      <c r="M324" s="803"/>
      <c r="N324" s="803"/>
      <c r="O324" s="803"/>
      <c r="P324" s="803"/>
      <c r="Q324" s="803"/>
      <c r="R324" s="803"/>
      <c r="S324" s="803"/>
      <c r="T324" s="803"/>
      <c r="U324" s="803"/>
      <c r="V324" s="803"/>
      <c r="W324" s="803"/>
      <c r="X324" s="803"/>
      <c r="Y324" s="804" t="s">
        <v>80</v>
      </c>
      <c r="Z324" s="805"/>
      <c r="AA324" s="805"/>
      <c r="AB324" s="805"/>
      <c r="AC324" s="805"/>
      <c r="AD324" s="805"/>
      <c r="AE324" s="805"/>
      <c r="AF324" s="805"/>
      <c r="AG324" s="805"/>
      <c r="AH324" s="805"/>
      <c r="AI324" s="805"/>
      <c r="AJ324" s="805"/>
      <c r="AK324" s="805"/>
      <c r="AL324" s="805"/>
      <c r="AM324" s="805"/>
      <c r="AN324" s="806"/>
      <c r="AO324" s="807">
        <f>AO309+AO322</f>
        <v>83.09</v>
      </c>
      <c r="AP324" s="808"/>
      <c r="AQ324" s="808"/>
      <c r="AR324" s="809"/>
    </row>
    <row r="325" spans="3:44" ht="18" customHeight="1">
      <c r="C325" s="810" t="s">
        <v>81</v>
      </c>
      <c r="D325" s="745"/>
      <c r="E325" s="745"/>
      <c r="F325" s="745"/>
      <c r="G325" s="745"/>
      <c r="H325" s="745"/>
      <c r="I325" s="745"/>
      <c r="J325" s="745"/>
      <c r="K325" s="745"/>
      <c r="L325" s="745"/>
      <c r="M325" s="745"/>
      <c r="N325" s="745"/>
      <c r="O325" s="745"/>
      <c r="P325" s="430"/>
      <c r="Q325" s="477">
        <v>1</v>
      </c>
      <c r="R325" s="746"/>
      <c r="S325" s="746"/>
      <c r="T325" s="746"/>
      <c r="U325" s="746"/>
      <c r="V325" s="745" t="s">
        <v>194</v>
      </c>
      <c r="W325" s="745"/>
      <c r="X325" s="430"/>
      <c r="Y325" s="804" t="s">
        <v>82</v>
      </c>
      <c r="Z325" s="805"/>
      <c r="AA325" s="805"/>
      <c r="AB325" s="805"/>
      <c r="AC325" s="805"/>
      <c r="AD325" s="805"/>
      <c r="AE325" s="805"/>
      <c r="AF325" s="805"/>
      <c r="AG325" s="805"/>
      <c r="AH325" s="805"/>
      <c r="AI325" s="805"/>
      <c r="AJ325" s="805"/>
      <c r="AK325" s="805"/>
      <c r="AL325" s="805"/>
      <c r="AM325" s="805"/>
      <c r="AN325" s="806"/>
      <c r="AO325" s="811">
        <f>ROUND(AO324/Q325,2)</f>
        <v>83.09</v>
      </c>
      <c r="AP325" s="812"/>
      <c r="AQ325" s="812"/>
      <c r="AR325" s="813"/>
    </row>
    <row r="327" spans="3:44" ht="18" customHeight="1">
      <c r="C327" s="794" t="s">
        <v>43</v>
      </c>
      <c r="D327" s="774"/>
      <c r="E327" s="775"/>
      <c r="F327" s="773" t="s">
        <v>83</v>
      </c>
      <c r="G327" s="774"/>
      <c r="H327" s="774"/>
      <c r="I327" s="774"/>
      <c r="J327" s="774"/>
      <c r="K327" s="774"/>
      <c r="L327" s="774"/>
      <c r="M327" s="774"/>
      <c r="N327" s="774"/>
      <c r="O327" s="774"/>
      <c r="P327" s="774"/>
      <c r="Q327" s="774"/>
      <c r="R327" s="774"/>
      <c r="S327" s="774"/>
      <c r="T327" s="774"/>
      <c r="U327" s="774"/>
      <c r="V327" s="774"/>
      <c r="W327" s="774"/>
      <c r="X327" s="774"/>
      <c r="Y327" s="774"/>
      <c r="Z327" s="774"/>
      <c r="AA327" s="774"/>
      <c r="AB327" s="775"/>
      <c r="AC327" s="773" t="s">
        <v>84</v>
      </c>
      <c r="AD327" s="774"/>
      <c r="AE327" s="774"/>
      <c r="AF327" s="775"/>
      <c r="AG327" s="773" t="s">
        <v>85</v>
      </c>
      <c r="AH327" s="774"/>
      <c r="AI327" s="774"/>
      <c r="AJ327" s="775"/>
      <c r="AK327" s="773" t="s">
        <v>86</v>
      </c>
      <c r="AL327" s="774"/>
      <c r="AM327" s="774"/>
      <c r="AN327" s="775"/>
      <c r="AO327" s="773" t="s">
        <v>87</v>
      </c>
      <c r="AP327" s="774"/>
      <c r="AQ327" s="774"/>
      <c r="AR327" s="779"/>
    </row>
    <row r="328" spans="3:44" ht="18" customHeight="1">
      <c r="C328" s="795"/>
      <c r="D328" s="777"/>
      <c r="E328" s="778"/>
      <c r="F328" s="776"/>
      <c r="G328" s="777"/>
      <c r="H328" s="777"/>
      <c r="I328" s="777"/>
      <c r="J328" s="777"/>
      <c r="K328" s="777"/>
      <c r="L328" s="777"/>
      <c r="M328" s="777"/>
      <c r="N328" s="777"/>
      <c r="O328" s="777"/>
      <c r="P328" s="777"/>
      <c r="Q328" s="777"/>
      <c r="R328" s="777"/>
      <c r="S328" s="777"/>
      <c r="T328" s="777"/>
      <c r="U328" s="777"/>
      <c r="V328" s="777"/>
      <c r="W328" s="777"/>
      <c r="X328" s="777"/>
      <c r="Y328" s="777"/>
      <c r="Z328" s="777"/>
      <c r="AA328" s="777"/>
      <c r="AB328" s="778"/>
      <c r="AC328" s="776"/>
      <c r="AD328" s="777"/>
      <c r="AE328" s="777"/>
      <c r="AF328" s="778"/>
      <c r="AG328" s="776"/>
      <c r="AH328" s="777"/>
      <c r="AI328" s="777"/>
      <c r="AJ328" s="778"/>
      <c r="AK328" s="776"/>
      <c r="AL328" s="777"/>
      <c r="AM328" s="777"/>
      <c r="AN328" s="778"/>
      <c r="AO328" s="776"/>
      <c r="AP328" s="777"/>
      <c r="AQ328" s="777"/>
      <c r="AR328" s="780"/>
    </row>
    <row r="329" spans="3:44" ht="18" customHeight="1">
      <c r="C329" s="758" t="s">
        <v>857</v>
      </c>
      <c r="D329" s="759"/>
      <c r="E329" s="760"/>
      <c r="F329" s="796" t="s">
        <v>374</v>
      </c>
      <c r="G329" s="797"/>
      <c r="H329" s="797"/>
      <c r="I329" s="797"/>
      <c r="J329" s="797"/>
      <c r="K329" s="797"/>
      <c r="L329" s="797"/>
      <c r="M329" s="797"/>
      <c r="N329" s="797"/>
      <c r="O329" s="797"/>
      <c r="P329" s="797"/>
      <c r="Q329" s="797"/>
      <c r="R329" s="797"/>
      <c r="S329" s="797"/>
      <c r="T329" s="797"/>
      <c r="U329" s="797"/>
      <c r="V329" s="797"/>
      <c r="W329" s="797"/>
      <c r="X329" s="797"/>
      <c r="Y329" s="797"/>
      <c r="Z329" s="797"/>
      <c r="AA329" s="797"/>
      <c r="AB329" s="798"/>
      <c r="AC329" s="799" t="s">
        <v>245</v>
      </c>
      <c r="AD329" s="800"/>
      <c r="AE329" s="800"/>
      <c r="AF329" s="801"/>
      <c r="AG329" s="466">
        <f>TRUNC(301.73/1.2031,2)</f>
        <v>250.79</v>
      </c>
      <c r="AH329" s="467"/>
      <c r="AI329" s="467"/>
      <c r="AJ329" s="468"/>
      <c r="AK329" s="737">
        <v>4.7E-2</v>
      </c>
      <c r="AL329" s="738"/>
      <c r="AM329" s="738"/>
      <c r="AN329" s="739"/>
      <c r="AO329" s="740">
        <f>ROUND(AG329*AK329,2)</f>
        <v>11.79</v>
      </c>
      <c r="AP329" s="741"/>
      <c r="AQ329" s="741"/>
      <c r="AR329" s="742"/>
    </row>
    <row r="330" spans="3:44" ht="18" customHeight="1">
      <c r="C330" s="758" t="s">
        <v>1377</v>
      </c>
      <c r="D330" s="759"/>
      <c r="E330" s="760"/>
      <c r="F330" s="796" t="s">
        <v>417</v>
      </c>
      <c r="G330" s="797"/>
      <c r="H330" s="797"/>
      <c r="I330" s="797"/>
      <c r="J330" s="797"/>
      <c r="K330" s="797"/>
      <c r="L330" s="797"/>
      <c r="M330" s="797"/>
      <c r="N330" s="797"/>
      <c r="O330" s="797"/>
      <c r="P330" s="797"/>
      <c r="Q330" s="797"/>
      <c r="R330" s="797"/>
      <c r="S330" s="797"/>
      <c r="T330" s="797"/>
      <c r="U330" s="797"/>
      <c r="V330" s="797"/>
      <c r="W330" s="797"/>
      <c r="X330" s="797"/>
      <c r="Y330" s="797"/>
      <c r="Z330" s="797"/>
      <c r="AA330" s="797"/>
      <c r="AB330" s="798"/>
      <c r="AC330" s="799" t="s">
        <v>245</v>
      </c>
      <c r="AD330" s="800"/>
      <c r="AE330" s="800"/>
      <c r="AF330" s="801"/>
      <c r="AG330" s="466">
        <f>TRUNC(373.21/1.2031,2)</f>
        <v>310.2</v>
      </c>
      <c r="AH330" s="467"/>
      <c r="AI330" s="467"/>
      <c r="AJ330" s="468"/>
      <c r="AK330" s="737">
        <v>2.254</v>
      </c>
      <c r="AL330" s="738"/>
      <c r="AM330" s="738"/>
      <c r="AN330" s="739"/>
      <c r="AO330" s="740">
        <f>ROUND(AG330*AK330,2)</f>
        <v>699.19</v>
      </c>
      <c r="AP330" s="741"/>
      <c r="AQ330" s="741"/>
      <c r="AR330" s="742"/>
    </row>
    <row r="331" spans="3:44" ht="18" customHeight="1">
      <c r="C331" s="758" t="s">
        <v>1376</v>
      </c>
      <c r="D331" s="759"/>
      <c r="E331" s="760"/>
      <c r="F331" s="796" t="s">
        <v>370</v>
      </c>
      <c r="G331" s="797"/>
      <c r="H331" s="797"/>
      <c r="I331" s="797"/>
      <c r="J331" s="797"/>
      <c r="K331" s="797"/>
      <c r="L331" s="797"/>
      <c r="M331" s="797"/>
      <c r="N331" s="797"/>
      <c r="O331" s="797"/>
      <c r="P331" s="797"/>
      <c r="Q331" s="797"/>
      <c r="R331" s="797"/>
      <c r="S331" s="797"/>
      <c r="T331" s="797"/>
      <c r="U331" s="797"/>
      <c r="V331" s="797"/>
      <c r="W331" s="797"/>
      <c r="X331" s="797"/>
      <c r="Y331" s="797"/>
      <c r="Z331" s="797"/>
      <c r="AA331" s="797"/>
      <c r="AB331" s="798"/>
      <c r="AC331" s="799" t="s">
        <v>309</v>
      </c>
      <c r="AD331" s="800"/>
      <c r="AE331" s="800"/>
      <c r="AF331" s="801"/>
      <c r="AG331" s="466">
        <f>TRUNC(43.8/1.2031,2)</f>
        <v>36.4</v>
      </c>
      <c r="AH331" s="467"/>
      <c r="AI331" s="467"/>
      <c r="AJ331" s="468"/>
      <c r="AK331" s="737">
        <v>22.6</v>
      </c>
      <c r="AL331" s="738"/>
      <c r="AM331" s="738"/>
      <c r="AN331" s="739"/>
      <c r="AO331" s="740">
        <f>ROUND(AG331*AK331,2)</f>
        <v>822.64</v>
      </c>
      <c r="AP331" s="741"/>
      <c r="AQ331" s="741"/>
      <c r="AR331" s="742"/>
    </row>
    <row r="332" spans="3:44" ht="18" customHeight="1">
      <c r="C332" s="758" t="s">
        <v>860</v>
      </c>
      <c r="D332" s="759"/>
      <c r="E332" s="760"/>
      <c r="F332" s="796" t="s">
        <v>418</v>
      </c>
      <c r="G332" s="797"/>
      <c r="H332" s="797"/>
      <c r="I332" s="797"/>
      <c r="J332" s="797"/>
      <c r="K332" s="797"/>
      <c r="L332" s="797"/>
      <c r="M332" s="797"/>
      <c r="N332" s="797"/>
      <c r="O332" s="797"/>
      <c r="P332" s="797"/>
      <c r="Q332" s="797"/>
      <c r="R332" s="797"/>
      <c r="S332" s="797"/>
      <c r="T332" s="797"/>
      <c r="U332" s="797"/>
      <c r="V332" s="797"/>
      <c r="W332" s="797"/>
      <c r="X332" s="797"/>
      <c r="Y332" s="797"/>
      <c r="Z332" s="797"/>
      <c r="AA332" s="797"/>
      <c r="AB332" s="798"/>
      <c r="AC332" s="799" t="s">
        <v>194</v>
      </c>
      <c r="AD332" s="800"/>
      <c r="AE332" s="800"/>
      <c r="AF332" s="801"/>
      <c r="AG332" s="466">
        <f>TRUNC(175.93/1.2031,2)</f>
        <v>146.22999999999999</v>
      </c>
      <c r="AH332" s="467"/>
      <c r="AI332" s="467"/>
      <c r="AJ332" s="468"/>
      <c r="AK332" s="737">
        <v>1</v>
      </c>
      <c r="AL332" s="738"/>
      <c r="AM332" s="738"/>
      <c r="AN332" s="739"/>
      <c r="AO332" s="740">
        <f>ROUND(AG332*AK332,2)</f>
        <v>146.22999999999999</v>
      </c>
      <c r="AP332" s="741"/>
      <c r="AQ332" s="741"/>
      <c r="AR332" s="742"/>
    </row>
    <row r="333" spans="3:44" ht="18" customHeight="1">
      <c r="C333" s="758"/>
      <c r="D333" s="759"/>
      <c r="E333" s="760"/>
      <c r="F333" s="796"/>
      <c r="G333" s="797"/>
      <c r="H333" s="797"/>
      <c r="I333" s="797"/>
      <c r="J333" s="797"/>
      <c r="K333" s="797"/>
      <c r="L333" s="797"/>
      <c r="M333" s="797"/>
      <c r="N333" s="797"/>
      <c r="O333" s="797"/>
      <c r="P333" s="797"/>
      <c r="Q333" s="797"/>
      <c r="R333" s="797"/>
      <c r="S333" s="797"/>
      <c r="T333" s="797"/>
      <c r="U333" s="797"/>
      <c r="V333" s="797"/>
      <c r="W333" s="797"/>
      <c r="X333" s="797"/>
      <c r="Y333" s="797"/>
      <c r="Z333" s="797"/>
      <c r="AA333" s="797"/>
      <c r="AB333" s="798"/>
      <c r="AC333" s="799"/>
      <c r="AD333" s="800"/>
      <c r="AE333" s="800"/>
      <c r="AF333" s="801"/>
      <c r="AG333" s="466"/>
      <c r="AH333" s="467"/>
      <c r="AI333" s="467"/>
      <c r="AJ333" s="468"/>
      <c r="AK333" s="737"/>
      <c r="AL333" s="738"/>
      <c r="AM333" s="738"/>
      <c r="AN333" s="739"/>
      <c r="AO333" s="740"/>
      <c r="AP333" s="741"/>
      <c r="AQ333" s="741"/>
      <c r="AR333" s="742"/>
    </row>
    <row r="334" spans="3:44" ht="18" customHeight="1">
      <c r="C334" s="758"/>
      <c r="D334" s="759"/>
      <c r="E334" s="760"/>
      <c r="F334" s="796"/>
      <c r="G334" s="797"/>
      <c r="H334" s="797"/>
      <c r="I334" s="797"/>
      <c r="J334" s="797"/>
      <c r="K334" s="797"/>
      <c r="L334" s="797"/>
      <c r="M334" s="797"/>
      <c r="N334" s="797"/>
      <c r="O334" s="797"/>
      <c r="P334" s="797"/>
      <c r="Q334" s="797"/>
      <c r="R334" s="797"/>
      <c r="S334" s="797"/>
      <c r="T334" s="797"/>
      <c r="U334" s="797"/>
      <c r="V334" s="797"/>
      <c r="W334" s="797"/>
      <c r="X334" s="797"/>
      <c r="Y334" s="797"/>
      <c r="Z334" s="797"/>
      <c r="AA334" s="797"/>
      <c r="AB334" s="798"/>
      <c r="AC334" s="799"/>
      <c r="AD334" s="800"/>
      <c r="AE334" s="800"/>
      <c r="AF334" s="801"/>
      <c r="AG334" s="466"/>
      <c r="AH334" s="467"/>
      <c r="AI334" s="467"/>
      <c r="AJ334" s="468"/>
      <c r="AK334" s="737"/>
      <c r="AL334" s="738"/>
      <c r="AM334" s="738"/>
      <c r="AN334" s="739"/>
      <c r="AO334" s="740"/>
      <c r="AP334" s="741"/>
      <c r="AQ334" s="741"/>
      <c r="AR334" s="742"/>
    </row>
    <row r="335" spans="3:44" ht="18" customHeight="1">
      <c r="C335" s="758"/>
      <c r="D335" s="759"/>
      <c r="E335" s="760"/>
      <c r="F335" s="796"/>
      <c r="G335" s="797"/>
      <c r="H335" s="797"/>
      <c r="I335" s="797"/>
      <c r="J335" s="797"/>
      <c r="K335" s="797"/>
      <c r="L335" s="797"/>
      <c r="M335" s="797"/>
      <c r="N335" s="797"/>
      <c r="O335" s="797"/>
      <c r="P335" s="797"/>
      <c r="Q335" s="797"/>
      <c r="R335" s="797"/>
      <c r="S335" s="797"/>
      <c r="T335" s="797"/>
      <c r="U335" s="797"/>
      <c r="V335" s="797"/>
      <c r="W335" s="797"/>
      <c r="X335" s="797"/>
      <c r="Y335" s="797"/>
      <c r="Z335" s="797"/>
      <c r="AA335" s="797"/>
      <c r="AB335" s="798"/>
      <c r="AC335" s="799"/>
      <c r="AD335" s="800"/>
      <c r="AE335" s="800"/>
      <c r="AF335" s="801"/>
      <c r="AG335" s="466"/>
      <c r="AH335" s="467"/>
      <c r="AI335" s="467"/>
      <c r="AJ335" s="468"/>
      <c r="AK335" s="737"/>
      <c r="AL335" s="738"/>
      <c r="AM335" s="738"/>
      <c r="AN335" s="739"/>
      <c r="AO335" s="740"/>
      <c r="AP335" s="741"/>
      <c r="AQ335" s="741"/>
      <c r="AR335" s="742"/>
    </row>
    <row r="336" spans="3:44" ht="18" customHeight="1">
      <c r="C336" s="758"/>
      <c r="D336" s="759"/>
      <c r="E336" s="760"/>
      <c r="F336" s="796"/>
      <c r="G336" s="797"/>
      <c r="H336" s="797"/>
      <c r="I336" s="797"/>
      <c r="J336" s="797"/>
      <c r="K336" s="797"/>
      <c r="L336" s="797"/>
      <c r="M336" s="797"/>
      <c r="N336" s="797"/>
      <c r="O336" s="797"/>
      <c r="P336" s="797"/>
      <c r="Q336" s="797"/>
      <c r="R336" s="797"/>
      <c r="S336" s="797"/>
      <c r="T336" s="797"/>
      <c r="U336" s="797"/>
      <c r="V336" s="797"/>
      <c r="W336" s="797"/>
      <c r="X336" s="797"/>
      <c r="Y336" s="797"/>
      <c r="Z336" s="797"/>
      <c r="AA336" s="797"/>
      <c r="AB336" s="798"/>
      <c r="AC336" s="799"/>
      <c r="AD336" s="800"/>
      <c r="AE336" s="800"/>
      <c r="AF336" s="801"/>
      <c r="AG336" s="466"/>
      <c r="AH336" s="467"/>
      <c r="AI336" s="467"/>
      <c r="AJ336" s="468"/>
      <c r="AK336" s="737"/>
      <c r="AL336" s="738"/>
      <c r="AM336" s="738"/>
      <c r="AN336" s="739"/>
      <c r="AO336" s="740"/>
      <c r="AP336" s="741"/>
      <c r="AQ336" s="741"/>
      <c r="AR336" s="742"/>
    </row>
    <row r="337" spans="3:44" ht="18" customHeight="1">
      <c r="C337" s="743"/>
      <c r="D337" s="744"/>
      <c r="E337" s="744"/>
      <c r="F337" s="744"/>
      <c r="G337" s="744"/>
      <c r="H337" s="744"/>
      <c r="I337" s="744"/>
      <c r="J337" s="744"/>
      <c r="K337" s="744"/>
      <c r="L337" s="744"/>
      <c r="M337" s="744"/>
      <c r="N337" s="744"/>
      <c r="O337" s="744"/>
      <c r="P337" s="744"/>
      <c r="Q337" s="744"/>
      <c r="R337" s="744"/>
      <c r="S337" s="744"/>
      <c r="T337" s="744"/>
      <c r="U337" s="744"/>
      <c r="V337" s="744"/>
      <c r="W337" s="744"/>
      <c r="X337" s="744"/>
      <c r="Y337" s="745" t="s">
        <v>88</v>
      </c>
      <c r="Z337" s="745"/>
      <c r="AA337" s="745"/>
      <c r="AB337" s="745"/>
      <c r="AC337" s="745"/>
      <c r="AD337" s="745"/>
      <c r="AE337" s="745"/>
      <c r="AF337" s="745"/>
      <c r="AG337" s="745"/>
      <c r="AH337" s="745"/>
      <c r="AI337" s="745"/>
      <c r="AJ337" s="745"/>
      <c r="AK337" s="745"/>
      <c r="AL337" s="745"/>
      <c r="AM337" s="745"/>
      <c r="AN337" s="430"/>
      <c r="AO337" s="477">
        <f>SUM(AO329:AR336)</f>
        <v>1679.85</v>
      </c>
      <c r="AP337" s="746"/>
      <c r="AQ337" s="746"/>
      <c r="AR337" s="747"/>
    </row>
    <row r="339" spans="3:44" ht="18" customHeight="1">
      <c r="C339" s="794" t="s">
        <v>43</v>
      </c>
      <c r="D339" s="774"/>
      <c r="E339" s="775"/>
      <c r="F339" s="773" t="s">
        <v>89</v>
      </c>
      <c r="G339" s="774"/>
      <c r="H339" s="774"/>
      <c r="I339" s="774"/>
      <c r="J339" s="774"/>
      <c r="K339" s="774"/>
      <c r="L339" s="774"/>
      <c r="M339" s="774"/>
      <c r="N339" s="774"/>
      <c r="O339" s="774"/>
      <c r="P339" s="774"/>
      <c r="Q339" s="774"/>
      <c r="R339" s="775"/>
      <c r="S339" s="773" t="s">
        <v>90</v>
      </c>
      <c r="T339" s="774"/>
      <c r="U339" s="775"/>
      <c r="V339" s="773" t="s">
        <v>91</v>
      </c>
      <c r="W339" s="774"/>
      <c r="X339" s="775"/>
      <c r="Y339" s="773" t="s">
        <v>92</v>
      </c>
      <c r="Z339" s="774"/>
      <c r="AA339" s="774"/>
      <c r="AB339" s="774"/>
      <c r="AC339" s="774"/>
      <c r="AD339" s="775"/>
      <c r="AE339" s="773" t="s">
        <v>93</v>
      </c>
      <c r="AF339" s="774"/>
      <c r="AG339" s="775"/>
      <c r="AH339" s="773" t="s">
        <v>94</v>
      </c>
      <c r="AI339" s="774"/>
      <c r="AJ339" s="775"/>
      <c r="AK339" s="773" t="s">
        <v>86</v>
      </c>
      <c r="AL339" s="774"/>
      <c r="AM339" s="774"/>
      <c r="AN339" s="775"/>
      <c r="AO339" s="773" t="s">
        <v>87</v>
      </c>
      <c r="AP339" s="774"/>
      <c r="AQ339" s="774"/>
      <c r="AR339" s="779"/>
    </row>
    <row r="340" spans="3:44" ht="18" customHeight="1">
      <c r="C340" s="795"/>
      <c r="D340" s="777"/>
      <c r="E340" s="778"/>
      <c r="F340" s="776"/>
      <c r="G340" s="777"/>
      <c r="H340" s="777"/>
      <c r="I340" s="777"/>
      <c r="J340" s="777"/>
      <c r="K340" s="777"/>
      <c r="L340" s="777"/>
      <c r="M340" s="777"/>
      <c r="N340" s="777"/>
      <c r="O340" s="777"/>
      <c r="P340" s="777"/>
      <c r="Q340" s="777"/>
      <c r="R340" s="778"/>
      <c r="S340" s="776"/>
      <c r="T340" s="777"/>
      <c r="U340" s="778"/>
      <c r="V340" s="776"/>
      <c r="W340" s="777"/>
      <c r="X340" s="778"/>
      <c r="Y340" s="776"/>
      <c r="Z340" s="777"/>
      <c r="AA340" s="777"/>
      <c r="AB340" s="777"/>
      <c r="AC340" s="777"/>
      <c r="AD340" s="778"/>
      <c r="AE340" s="776"/>
      <c r="AF340" s="777"/>
      <c r="AG340" s="778"/>
      <c r="AH340" s="776"/>
      <c r="AI340" s="777"/>
      <c r="AJ340" s="778"/>
      <c r="AK340" s="776"/>
      <c r="AL340" s="777"/>
      <c r="AM340" s="777"/>
      <c r="AN340" s="778"/>
      <c r="AO340" s="776"/>
      <c r="AP340" s="777"/>
      <c r="AQ340" s="777"/>
      <c r="AR340" s="780"/>
    </row>
    <row r="341" spans="3:44" ht="18" customHeight="1">
      <c r="C341" s="781"/>
      <c r="D341" s="782"/>
      <c r="E341" s="783"/>
      <c r="F341" s="457"/>
      <c r="G341" s="457"/>
      <c r="H341" s="457"/>
      <c r="I341" s="457"/>
      <c r="J341" s="457"/>
      <c r="K341" s="457"/>
      <c r="L341" s="457"/>
      <c r="M341" s="457"/>
      <c r="N341" s="457"/>
      <c r="O341" s="457"/>
      <c r="P341" s="457"/>
      <c r="Q341" s="457"/>
      <c r="R341" s="457"/>
      <c r="S341" s="784"/>
      <c r="T341" s="785"/>
      <c r="U341" s="786"/>
      <c r="V341" s="784"/>
      <c r="W341" s="785"/>
      <c r="X341" s="786"/>
      <c r="Y341" s="787"/>
      <c r="Z341" s="788"/>
      <c r="AA341" s="788"/>
      <c r="AB341" s="788"/>
      <c r="AC341" s="788"/>
      <c r="AD341" s="789"/>
      <c r="AE341" s="449"/>
      <c r="AF341" s="449"/>
      <c r="AG341" s="449"/>
      <c r="AH341" s="770"/>
      <c r="AI341" s="771"/>
      <c r="AJ341" s="790"/>
      <c r="AK341" s="791"/>
      <c r="AL341" s="792"/>
      <c r="AM341" s="792"/>
      <c r="AN341" s="793"/>
      <c r="AO341" s="770"/>
      <c r="AP341" s="771"/>
      <c r="AQ341" s="771"/>
      <c r="AR341" s="772"/>
    </row>
    <row r="342" spans="3:44" ht="18" customHeight="1">
      <c r="C342" s="758"/>
      <c r="D342" s="759"/>
      <c r="E342" s="760"/>
      <c r="F342" s="761"/>
      <c r="G342" s="762"/>
      <c r="H342" s="762"/>
      <c r="I342" s="762"/>
      <c r="J342" s="762"/>
      <c r="K342" s="762"/>
      <c r="L342" s="762"/>
      <c r="M342" s="762"/>
      <c r="N342" s="762"/>
      <c r="O342" s="762"/>
      <c r="P342" s="762"/>
      <c r="Q342" s="762"/>
      <c r="R342" s="763"/>
      <c r="S342" s="764"/>
      <c r="T342" s="765"/>
      <c r="U342" s="766"/>
      <c r="V342" s="764"/>
      <c r="W342" s="765"/>
      <c r="X342" s="766"/>
      <c r="Y342" s="767"/>
      <c r="Z342" s="768"/>
      <c r="AA342" s="768"/>
      <c r="AB342" s="768"/>
      <c r="AC342" s="768"/>
      <c r="AD342" s="769"/>
      <c r="AE342" s="740"/>
      <c r="AF342" s="741"/>
      <c r="AG342" s="757"/>
      <c r="AH342" s="740"/>
      <c r="AI342" s="741"/>
      <c r="AJ342" s="757"/>
      <c r="AK342" s="737"/>
      <c r="AL342" s="738"/>
      <c r="AM342" s="738"/>
      <c r="AN342" s="739"/>
      <c r="AO342" s="740">
        <f t="shared" ref="AO342:AO348" si="5">ROUND(AE342*AH342*AK342,2)</f>
        <v>0</v>
      </c>
      <c r="AP342" s="741"/>
      <c r="AQ342" s="741"/>
      <c r="AR342" s="742"/>
    </row>
    <row r="343" spans="3:44" ht="18" customHeight="1">
      <c r="C343" s="758"/>
      <c r="D343" s="759"/>
      <c r="E343" s="760"/>
      <c r="F343" s="761"/>
      <c r="G343" s="762"/>
      <c r="H343" s="762"/>
      <c r="I343" s="762"/>
      <c r="J343" s="762"/>
      <c r="K343" s="762"/>
      <c r="L343" s="762"/>
      <c r="M343" s="762"/>
      <c r="N343" s="762"/>
      <c r="O343" s="762"/>
      <c r="P343" s="762"/>
      <c r="Q343" s="762"/>
      <c r="R343" s="763"/>
      <c r="S343" s="764"/>
      <c r="T343" s="765"/>
      <c r="U343" s="766"/>
      <c r="V343" s="764"/>
      <c r="W343" s="765"/>
      <c r="X343" s="766"/>
      <c r="Y343" s="767"/>
      <c r="Z343" s="768"/>
      <c r="AA343" s="768"/>
      <c r="AB343" s="768"/>
      <c r="AC343" s="768"/>
      <c r="AD343" s="769"/>
      <c r="AE343" s="740"/>
      <c r="AF343" s="741"/>
      <c r="AG343" s="757"/>
      <c r="AH343" s="740"/>
      <c r="AI343" s="741"/>
      <c r="AJ343" s="757"/>
      <c r="AK343" s="737"/>
      <c r="AL343" s="738"/>
      <c r="AM343" s="738"/>
      <c r="AN343" s="739"/>
      <c r="AO343" s="740">
        <f t="shared" si="5"/>
        <v>0</v>
      </c>
      <c r="AP343" s="741"/>
      <c r="AQ343" s="741"/>
      <c r="AR343" s="742"/>
    </row>
    <row r="344" spans="3:44" ht="18" customHeight="1">
      <c r="C344" s="758"/>
      <c r="D344" s="759"/>
      <c r="E344" s="760"/>
      <c r="F344" s="761"/>
      <c r="G344" s="762"/>
      <c r="H344" s="762"/>
      <c r="I344" s="762"/>
      <c r="J344" s="762"/>
      <c r="K344" s="762"/>
      <c r="L344" s="762"/>
      <c r="M344" s="762"/>
      <c r="N344" s="762"/>
      <c r="O344" s="762"/>
      <c r="P344" s="762"/>
      <c r="Q344" s="762"/>
      <c r="R344" s="763"/>
      <c r="S344" s="764"/>
      <c r="T344" s="765"/>
      <c r="U344" s="766"/>
      <c r="V344" s="764"/>
      <c r="W344" s="765"/>
      <c r="X344" s="766"/>
      <c r="Y344" s="767"/>
      <c r="Z344" s="768"/>
      <c r="AA344" s="768"/>
      <c r="AB344" s="768"/>
      <c r="AC344" s="768"/>
      <c r="AD344" s="769"/>
      <c r="AE344" s="740"/>
      <c r="AF344" s="741"/>
      <c r="AG344" s="757"/>
      <c r="AH344" s="740"/>
      <c r="AI344" s="741"/>
      <c r="AJ344" s="757"/>
      <c r="AK344" s="737"/>
      <c r="AL344" s="738"/>
      <c r="AM344" s="738"/>
      <c r="AN344" s="739"/>
      <c r="AO344" s="740">
        <f t="shared" si="5"/>
        <v>0</v>
      </c>
      <c r="AP344" s="741"/>
      <c r="AQ344" s="741"/>
      <c r="AR344" s="742"/>
    </row>
    <row r="345" spans="3:44" ht="18" customHeight="1">
      <c r="C345" s="758"/>
      <c r="D345" s="759"/>
      <c r="E345" s="760"/>
      <c r="F345" s="761"/>
      <c r="G345" s="762"/>
      <c r="H345" s="762"/>
      <c r="I345" s="762"/>
      <c r="J345" s="762"/>
      <c r="K345" s="762"/>
      <c r="L345" s="762"/>
      <c r="M345" s="762"/>
      <c r="N345" s="762"/>
      <c r="O345" s="762"/>
      <c r="P345" s="762"/>
      <c r="Q345" s="762"/>
      <c r="R345" s="763"/>
      <c r="S345" s="764"/>
      <c r="T345" s="765"/>
      <c r="U345" s="766"/>
      <c r="V345" s="764"/>
      <c r="W345" s="765"/>
      <c r="X345" s="766"/>
      <c r="Y345" s="767"/>
      <c r="Z345" s="768"/>
      <c r="AA345" s="768"/>
      <c r="AB345" s="768"/>
      <c r="AC345" s="768"/>
      <c r="AD345" s="769"/>
      <c r="AE345" s="740"/>
      <c r="AF345" s="741"/>
      <c r="AG345" s="757"/>
      <c r="AH345" s="740"/>
      <c r="AI345" s="741"/>
      <c r="AJ345" s="757"/>
      <c r="AK345" s="737"/>
      <c r="AL345" s="738"/>
      <c r="AM345" s="738"/>
      <c r="AN345" s="739"/>
      <c r="AO345" s="740">
        <f t="shared" si="5"/>
        <v>0</v>
      </c>
      <c r="AP345" s="741"/>
      <c r="AQ345" s="741"/>
      <c r="AR345" s="742"/>
    </row>
    <row r="346" spans="3:44" ht="18" customHeight="1">
      <c r="C346" s="758"/>
      <c r="D346" s="759"/>
      <c r="E346" s="760"/>
      <c r="F346" s="761"/>
      <c r="G346" s="762"/>
      <c r="H346" s="762"/>
      <c r="I346" s="762"/>
      <c r="J346" s="762"/>
      <c r="K346" s="762"/>
      <c r="L346" s="762"/>
      <c r="M346" s="762"/>
      <c r="N346" s="762"/>
      <c r="O346" s="762"/>
      <c r="P346" s="762"/>
      <c r="Q346" s="762"/>
      <c r="R346" s="763"/>
      <c r="S346" s="764"/>
      <c r="T346" s="765"/>
      <c r="U346" s="766"/>
      <c r="V346" s="764"/>
      <c r="W346" s="765"/>
      <c r="X346" s="766"/>
      <c r="Y346" s="767"/>
      <c r="Z346" s="768"/>
      <c r="AA346" s="768"/>
      <c r="AB346" s="768"/>
      <c r="AC346" s="768"/>
      <c r="AD346" s="769"/>
      <c r="AE346" s="740"/>
      <c r="AF346" s="741"/>
      <c r="AG346" s="757"/>
      <c r="AH346" s="740"/>
      <c r="AI346" s="741"/>
      <c r="AJ346" s="757"/>
      <c r="AK346" s="737"/>
      <c r="AL346" s="738"/>
      <c r="AM346" s="738"/>
      <c r="AN346" s="739"/>
      <c r="AO346" s="740">
        <f t="shared" si="5"/>
        <v>0</v>
      </c>
      <c r="AP346" s="741"/>
      <c r="AQ346" s="741"/>
      <c r="AR346" s="742"/>
    </row>
    <row r="347" spans="3:44" ht="18" customHeight="1">
      <c r="C347" s="758"/>
      <c r="D347" s="759"/>
      <c r="E347" s="760"/>
      <c r="F347" s="761"/>
      <c r="G347" s="762"/>
      <c r="H347" s="762"/>
      <c r="I347" s="762"/>
      <c r="J347" s="762"/>
      <c r="K347" s="762"/>
      <c r="L347" s="762"/>
      <c r="M347" s="762"/>
      <c r="N347" s="762"/>
      <c r="O347" s="762"/>
      <c r="P347" s="762"/>
      <c r="Q347" s="762"/>
      <c r="R347" s="763"/>
      <c r="S347" s="764"/>
      <c r="T347" s="765"/>
      <c r="U347" s="766"/>
      <c r="V347" s="764"/>
      <c r="W347" s="765"/>
      <c r="X347" s="766"/>
      <c r="Y347" s="767"/>
      <c r="Z347" s="768"/>
      <c r="AA347" s="768"/>
      <c r="AB347" s="768"/>
      <c r="AC347" s="768"/>
      <c r="AD347" s="769"/>
      <c r="AE347" s="740"/>
      <c r="AF347" s="741"/>
      <c r="AG347" s="757"/>
      <c r="AH347" s="740"/>
      <c r="AI347" s="741"/>
      <c r="AJ347" s="757"/>
      <c r="AK347" s="737"/>
      <c r="AL347" s="738"/>
      <c r="AM347" s="738"/>
      <c r="AN347" s="739"/>
      <c r="AO347" s="740">
        <f t="shared" si="5"/>
        <v>0</v>
      </c>
      <c r="AP347" s="741"/>
      <c r="AQ347" s="741"/>
      <c r="AR347" s="742"/>
    </row>
    <row r="348" spans="3:44" ht="18" customHeight="1">
      <c r="C348" s="758"/>
      <c r="D348" s="759"/>
      <c r="E348" s="760"/>
      <c r="F348" s="761"/>
      <c r="G348" s="762"/>
      <c r="H348" s="762"/>
      <c r="I348" s="762"/>
      <c r="J348" s="762"/>
      <c r="K348" s="762"/>
      <c r="L348" s="762"/>
      <c r="M348" s="762"/>
      <c r="N348" s="762"/>
      <c r="O348" s="762"/>
      <c r="P348" s="762"/>
      <c r="Q348" s="762"/>
      <c r="R348" s="763"/>
      <c r="S348" s="764"/>
      <c r="T348" s="765"/>
      <c r="U348" s="766"/>
      <c r="V348" s="764"/>
      <c r="W348" s="765"/>
      <c r="X348" s="766"/>
      <c r="Y348" s="767"/>
      <c r="Z348" s="768"/>
      <c r="AA348" s="768"/>
      <c r="AB348" s="768"/>
      <c r="AC348" s="768"/>
      <c r="AD348" s="769"/>
      <c r="AE348" s="740"/>
      <c r="AF348" s="741"/>
      <c r="AG348" s="757"/>
      <c r="AH348" s="740"/>
      <c r="AI348" s="741"/>
      <c r="AJ348" s="757"/>
      <c r="AK348" s="737"/>
      <c r="AL348" s="738"/>
      <c r="AM348" s="738"/>
      <c r="AN348" s="739"/>
      <c r="AO348" s="740">
        <f t="shared" si="5"/>
        <v>0</v>
      </c>
      <c r="AP348" s="741"/>
      <c r="AQ348" s="741"/>
      <c r="AR348" s="742"/>
    </row>
    <row r="349" spans="3:44" ht="18" customHeight="1">
      <c r="C349" s="743"/>
      <c r="D349" s="744"/>
      <c r="E349" s="744"/>
      <c r="F349" s="744"/>
      <c r="G349" s="744"/>
      <c r="H349" s="744"/>
      <c r="I349" s="744"/>
      <c r="J349" s="744"/>
      <c r="K349" s="744"/>
      <c r="L349" s="744"/>
      <c r="M349" s="744"/>
      <c r="N349" s="744"/>
      <c r="O349" s="744"/>
      <c r="P349" s="744"/>
      <c r="Q349" s="744"/>
      <c r="R349" s="744"/>
      <c r="S349" s="744"/>
      <c r="T349" s="744"/>
      <c r="U349" s="744"/>
      <c r="V349" s="744"/>
      <c r="W349" s="744"/>
      <c r="X349" s="744"/>
      <c r="Y349" s="745" t="s">
        <v>95</v>
      </c>
      <c r="Z349" s="745"/>
      <c r="AA349" s="745"/>
      <c r="AB349" s="745"/>
      <c r="AC349" s="745"/>
      <c r="AD349" s="745"/>
      <c r="AE349" s="745"/>
      <c r="AF349" s="745"/>
      <c r="AG349" s="745"/>
      <c r="AH349" s="745"/>
      <c r="AI349" s="745"/>
      <c r="AJ349" s="745"/>
      <c r="AK349" s="745"/>
      <c r="AL349" s="745"/>
      <c r="AM349" s="745"/>
      <c r="AN349" s="430"/>
      <c r="AO349" s="477">
        <f>SUM(AO341:AR348)</f>
        <v>0</v>
      </c>
      <c r="AP349" s="746"/>
      <c r="AQ349" s="746"/>
      <c r="AR349" s="747"/>
    </row>
    <row r="351" spans="3:44" ht="18" customHeight="1">
      <c r="C351" s="434"/>
      <c r="D351" s="434"/>
      <c r="E351" s="434"/>
      <c r="F351" s="434"/>
      <c r="G351" s="434"/>
      <c r="H351" s="434"/>
      <c r="I351" s="434"/>
      <c r="J351" s="434"/>
      <c r="K351" s="434"/>
      <c r="L351" s="434"/>
      <c r="M351" s="434"/>
      <c r="N351" s="434"/>
      <c r="O351" s="434"/>
      <c r="P351" s="434"/>
      <c r="Q351" s="434"/>
      <c r="R351" s="434"/>
      <c r="S351" s="434"/>
      <c r="T351" s="434"/>
      <c r="U351" s="434"/>
      <c r="V351" s="434"/>
      <c r="W351" s="434"/>
      <c r="X351" s="748"/>
      <c r="Y351" s="749" t="s">
        <v>96</v>
      </c>
      <c r="Z351" s="750"/>
      <c r="AA351" s="750"/>
      <c r="AB351" s="750"/>
      <c r="AC351" s="750"/>
      <c r="AD351" s="750"/>
      <c r="AE351" s="750"/>
      <c r="AF351" s="750"/>
      <c r="AG351" s="750"/>
      <c r="AH351" s="750"/>
      <c r="AI351" s="750"/>
      <c r="AJ351" s="750"/>
      <c r="AK351" s="750"/>
      <c r="AL351" s="750"/>
      <c r="AM351" s="750"/>
      <c r="AN351" s="751"/>
      <c r="AO351" s="752">
        <f>AO325+AO337+AO349</f>
        <v>1762.9399999999998</v>
      </c>
      <c r="AP351" s="753"/>
      <c r="AQ351" s="753"/>
      <c r="AR351" s="754"/>
    </row>
    <row r="352" spans="3:44" ht="18" customHeight="1">
      <c r="C352" s="434"/>
      <c r="D352" s="434"/>
      <c r="E352" s="434"/>
      <c r="F352" s="434"/>
      <c r="G352" s="434"/>
      <c r="H352" s="434"/>
      <c r="I352" s="434"/>
      <c r="J352" s="434"/>
      <c r="K352" s="434"/>
      <c r="L352" s="434"/>
      <c r="M352" s="434"/>
      <c r="N352" s="434"/>
      <c r="O352" s="434"/>
      <c r="P352" s="434"/>
      <c r="Q352" s="434"/>
      <c r="R352" s="434"/>
      <c r="S352" s="434"/>
      <c r="T352" s="434"/>
      <c r="U352" s="434"/>
      <c r="V352" s="434"/>
      <c r="W352" s="434"/>
      <c r="X352" s="748"/>
      <c r="Y352" s="755" t="s">
        <v>97</v>
      </c>
      <c r="Z352" s="756"/>
      <c r="AA352" s="756"/>
      <c r="AB352" s="756"/>
      <c r="AC352" s="756"/>
      <c r="AD352" s="756"/>
      <c r="AE352" s="756"/>
      <c r="AF352" s="756"/>
      <c r="AG352" s="756"/>
      <c r="AH352" s="442">
        <v>0.2031</v>
      </c>
      <c r="AI352" s="442"/>
      <c r="AJ352" s="442"/>
      <c r="AK352" s="442"/>
      <c r="AL352" s="442"/>
      <c r="AM352" s="442"/>
      <c r="AN352" s="443"/>
      <c r="AO352" s="728">
        <f>ROUND(AO351*AH352,2)</f>
        <v>358.05</v>
      </c>
      <c r="AP352" s="729"/>
      <c r="AQ352" s="729"/>
      <c r="AR352" s="730"/>
    </row>
    <row r="353" spans="1:44" ht="18" customHeight="1">
      <c r="A353" s="415" t="s">
        <v>431</v>
      </c>
      <c r="B353" s="415"/>
      <c r="C353" s="434"/>
      <c r="D353" s="434"/>
      <c r="E353" s="434"/>
      <c r="F353" s="434"/>
      <c r="G353" s="434"/>
      <c r="H353" s="434"/>
      <c r="I353" s="434"/>
      <c r="J353" s="434"/>
      <c r="K353" s="434"/>
      <c r="L353" s="434"/>
      <c r="M353" s="434"/>
      <c r="N353" s="434"/>
      <c r="O353" s="434"/>
      <c r="P353" s="434"/>
      <c r="Q353" s="434"/>
      <c r="R353" s="434"/>
      <c r="S353" s="434"/>
      <c r="T353" s="434"/>
      <c r="U353" s="434"/>
      <c r="V353" s="434"/>
      <c r="W353" s="434"/>
      <c r="X353" s="748"/>
      <c r="Y353" s="731" t="s">
        <v>98</v>
      </c>
      <c r="Z353" s="732"/>
      <c r="AA353" s="732"/>
      <c r="AB353" s="732"/>
      <c r="AC353" s="732"/>
      <c r="AD353" s="732"/>
      <c r="AE353" s="732"/>
      <c r="AF353" s="732"/>
      <c r="AG353" s="732"/>
      <c r="AH353" s="732"/>
      <c r="AI353" s="732"/>
      <c r="AJ353" s="732"/>
      <c r="AK353" s="732"/>
      <c r="AL353" s="732"/>
      <c r="AM353" s="732"/>
      <c r="AN353" s="733"/>
      <c r="AO353" s="734">
        <f>SUM(AO351:AR352)</f>
        <v>2120.9899999999998</v>
      </c>
      <c r="AP353" s="735"/>
      <c r="AQ353" s="735"/>
      <c r="AR353" s="736"/>
    </row>
    <row r="355" spans="1:44" ht="18" customHeight="1">
      <c r="C355" s="420" t="s">
        <v>99</v>
      </c>
      <c r="D355" s="421"/>
      <c r="E355" s="421"/>
      <c r="F355" s="421"/>
      <c r="G355" s="421"/>
      <c r="H355" s="421"/>
      <c r="I355" s="422"/>
      <c r="J355" s="422"/>
      <c r="K355" s="422"/>
      <c r="L355" s="422"/>
      <c r="M355" s="422"/>
      <c r="N355" s="422"/>
      <c r="O355" s="422"/>
      <c r="P355" s="422"/>
      <c r="Q355" s="422"/>
      <c r="R355" s="422"/>
      <c r="S355" s="422"/>
      <c r="T355" s="422"/>
      <c r="U355" s="422"/>
      <c r="V355" s="422"/>
      <c r="W355" s="422"/>
      <c r="X355" s="422"/>
      <c r="Y355" s="422"/>
      <c r="Z355" s="422"/>
      <c r="AA355" s="422"/>
      <c r="AB355" s="422"/>
      <c r="AC355" s="422"/>
      <c r="AD355" s="422"/>
      <c r="AE355" s="422"/>
      <c r="AF355" s="422"/>
      <c r="AG355" s="422"/>
      <c r="AH355" s="422"/>
      <c r="AI355" s="422"/>
      <c r="AJ355" s="422"/>
      <c r="AK355" s="422"/>
      <c r="AL355" s="422"/>
      <c r="AM355" s="422"/>
      <c r="AN355" s="422"/>
      <c r="AO355" s="422"/>
      <c r="AP355" s="422"/>
      <c r="AQ355" s="422"/>
      <c r="AR355" s="423"/>
    </row>
    <row r="356" spans="1:44" ht="18" customHeight="1">
      <c r="C356" s="411"/>
      <c r="D356" s="412"/>
      <c r="E356" s="412"/>
      <c r="F356" s="412"/>
      <c r="G356" s="412"/>
      <c r="H356" s="412"/>
      <c r="I356" s="409"/>
      <c r="J356" s="409"/>
      <c r="K356" s="409"/>
      <c r="L356" s="409"/>
      <c r="M356" s="409"/>
      <c r="N356" s="409"/>
      <c r="O356" s="409"/>
      <c r="P356" s="409"/>
      <c r="Q356" s="409"/>
      <c r="R356" s="409"/>
      <c r="S356" s="409"/>
      <c r="T356" s="409"/>
      <c r="U356" s="409"/>
      <c r="V356" s="409"/>
      <c r="W356" s="409"/>
      <c r="X356" s="409"/>
      <c r="Y356" s="409"/>
      <c r="Z356" s="409"/>
      <c r="AA356" s="409"/>
      <c r="AB356" s="409"/>
      <c r="AC356" s="409"/>
      <c r="AD356" s="409"/>
      <c r="AE356" s="409"/>
      <c r="AF356" s="409"/>
      <c r="AG356" s="409"/>
      <c r="AH356" s="409"/>
      <c r="AI356" s="409"/>
      <c r="AJ356" s="409"/>
      <c r="AK356" s="409"/>
      <c r="AL356" s="409"/>
      <c r="AM356" s="409"/>
      <c r="AN356" s="409"/>
      <c r="AO356" s="409"/>
      <c r="AP356" s="409"/>
      <c r="AQ356" s="409"/>
      <c r="AR356" s="410"/>
    </row>
    <row r="357" spans="1:44" ht="18" customHeight="1">
      <c r="C357" s="411"/>
      <c r="D357" s="412"/>
      <c r="E357" s="412"/>
      <c r="F357" s="412"/>
      <c r="G357" s="412"/>
      <c r="H357" s="412"/>
      <c r="I357" s="409"/>
      <c r="J357" s="409"/>
      <c r="K357" s="409"/>
      <c r="L357" s="409"/>
      <c r="M357" s="409"/>
      <c r="N357" s="409"/>
      <c r="O357" s="409"/>
      <c r="P357" s="409"/>
      <c r="Q357" s="409"/>
      <c r="R357" s="409"/>
      <c r="S357" s="409"/>
      <c r="T357" s="409"/>
      <c r="U357" s="409"/>
      <c r="V357" s="409"/>
      <c r="W357" s="409"/>
      <c r="X357" s="409"/>
      <c r="Y357" s="409"/>
      <c r="Z357" s="409"/>
      <c r="AA357" s="409"/>
      <c r="AB357" s="409"/>
      <c r="AC357" s="409"/>
      <c r="AD357" s="409"/>
      <c r="AE357" s="409"/>
      <c r="AF357" s="409"/>
      <c r="AG357" s="409"/>
      <c r="AH357" s="409"/>
      <c r="AI357" s="409"/>
      <c r="AJ357" s="409"/>
      <c r="AK357" s="409"/>
      <c r="AL357" s="409"/>
      <c r="AM357" s="409"/>
      <c r="AN357" s="409"/>
      <c r="AO357" s="409"/>
      <c r="AP357" s="409"/>
      <c r="AQ357" s="409"/>
      <c r="AR357" s="410"/>
    </row>
    <row r="358" spans="1:44" ht="18" customHeight="1">
      <c r="C358" s="411"/>
      <c r="D358" s="412"/>
      <c r="E358" s="412"/>
      <c r="F358" s="412"/>
      <c r="G358" s="412"/>
      <c r="H358" s="412"/>
      <c r="I358" s="409"/>
      <c r="J358" s="409"/>
      <c r="K358" s="409"/>
      <c r="L358" s="409"/>
      <c r="M358" s="409"/>
      <c r="N358" s="409"/>
      <c r="O358" s="409"/>
      <c r="P358" s="409"/>
      <c r="Q358" s="409"/>
      <c r="R358" s="409"/>
      <c r="S358" s="409"/>
      <c r="T358" s="409"/>
      <c r="U358" s="409"/>
      <c r="V358" s="409"/>
      <c r="W358" s="409"/>
      <c r="X358" s="409"/>
      <c r="Y358" s="409"/>
      <c r="Z358" s="409"/>
      <c r="AA358" s="409"/>
      <c r="AB358" s="409"/>
      <c r="AC358" s="409"/>
      <c r="AD358" s="409"/>
      <c r="AE358" s="409"/>
      <c r="AF358" s="409"/>
      <c r="AG358" s="409"/>
      <c r="AH358" s="409"/>
      <c r="AI358" s="409"/>
      <c r="AJ358" s="409"/>
      <c r="AK358" s="409"/>
      <c r="AL358" s="409"/>
      <c r="AM358" s="409"/>
      <c r="AN358" s="409"/>
      <c r="AO358" s="409"/>
      <c r="AP358" s="409"/>
      <c r="AQ358" s="409"/>
      <c r="AR358" s="410"/>
    </row>
    <row r="359" spans="1:44" ht="18" customHeight="1">
      <c r="C359" s="411"/>
      <c r="D359" s="412"/>
      <c r="E359" s="412"/>
      <c r="F359" s="412"/>
      <c r="G359" s="412"/>
      <c r="H359" s="412"/>
      <c r="I359" s="409"/>
      <c r="J359" s="409"/>
      <c r="K359" s="409"/>
      <c r="L359" s="409"/>
      <c r="M359" s="409"/>
      <c r="N359" s="409"/>
      <c r="O359" s="409"/>
      <c r="P359" s="409"/>
      <c r="Q359" s="409"/>
      <c r="R359" s="409"/>
      <c r="S359" s="409"/>
      <c r="T359" s="409"/>
      <c r="U359" s="409"/>
      <c r="V359" s="409"/>
      <c r="W359" s="409"/>
      <c r="X359" s="409"/>
      <c r="Y359" s="409"/>
      <c r="Z359" s="409"/>
      <c r="AA359" s="409"/>
      <c r="AB359" s="409"/>
      <c r="AC359" s="409"/>
      <c r="AD359" s="409"/>
      <c r="AE359" s="409"/>
      <c r="AF359" s="409"/>
      <c r="AG359" s="409"/>
      <c r="AH359" s="409"/>
      <c r="AI359" s="409"/>
      <c r="AJ359" s="409"/>
      <c r="AK359" s="409"/>
      <c r="AL359" s="409"/>
      <c r="AM359" s="409"/>
      <c r="AN359" s="409"/>
      <c r="AO359" s="409"/>
      <c r="AP359" s="409"/>
      <c r="AQ359" s="409"/>
      <c r="AR359" s="410"/>
    </row>
    <row r="360" spans="1:44" ht="18" customHeight="1">
      <c r="C360" s="385"/>
      <c r="D360" s="386"/>
      <c r="E360" s="386"/>
      <c r="F360" s="386"/>
      <c r="G360" s="386"/>
      <c r="H360" s="386"/>
      <c r="I360" s="387"/>
      <c r="J360" s="387"/>
      <c r="K360" s="387"/>
      <c r="L360" s="387"/>
      <c r="M360" s="387"/>
      <c r="N360" s="387"/>
      <c r="O360" s="387"/>
      <c r="P360" s="387"/>
      <c r="Q360" s="387"/>
      <c r="R360" s="387"/>
      <c r="S360" s="387"/>
      <c r="T360" s="387"/>
      <c r="U360" s="387"/>
      <c r="V360" s="387"/>
      <c r="W360" s="387"/>
      <c r="X360" s="387"/>
      <c r="Y360" s="387"/>
      <c r="Z360" s="387"/>
      <c r="AA360" s="387"/>
      <c r="AB360" s="387"/>
      <c r="AC360" s="387"/>
      <c r="AD360" s="387"/>
      <c r="AE360" s="387"/>
      <c r="AF360" s="387"/>
      <c r="AG360" s="387"/>
      <c r="AH360" s="387"/>
      <c r="AI360" s="387"/>
      <c r="AJ360" s="387"/>
      <c r="AK360" s="387"/>
      <c r="AL360" s="387"/>
      <c r="AM360" s="387"/>
      <c r="AN360" s="387"/>
      <c r="AO360" s="387"/>
      <c r="AP360" s="387"/>
      <c r="AQ360" s="387"/>
      <c r="AR360" s="388"/>
    </row>
    <row r="362" spans="1:44" ht="18" customHeight="1">
      <c r="C362" s="389" t="s">
        <v>100</v>
      </c>
      <c r="D362" s="390"/>
      <c r="E362" s="390"/>
      <c r="F362" s="390"/>
      <c r="G362" s="390"/>
      <c r="H362" s="390"/>
      <c r="I362" s="390"/>
      <c r="J362" s="390"/>
      <c r="K362" s="390"/>
      <c r="L362" s="390"/>
      <c r="M362" s="390"/>
      <c r="N362" s="390"/>
      <c r="O362" s="390"/>
      <c r="P362" s="390"/>
      <c r="Q362" s="390"/>
      <c r="R362" s="390"/>
      <c r="S362" s="390"/>
      <c r="T362" s="390"/>
      <c r="U362" s="390"/>
      <c r="V362" s="390"/>
      <c r="W362" s="390"/>
      <c r="X362" s="390"/>
      <c r="Y362" s="390"/>
      <c r="Z362" s="390"/>
      <c r="AA362" s="391"/>
      <c r="AB362" s="392" t="str">
        <f>[4]C.UNIT.SERV.!$E$5</f>
        <v>DATA-BASE:      MAIO/2011/PR</v>
      </c>
      <c r="AC362" s="393"/>
      <c r="AD362" s="393"/>
      <c r="AE362" s="393"/>
      <c r="AF362" s="393"/>
      <c r="AG362" s="393"/>
      <c r="AH362" s="393"/>
      <c r="AI362" s="394"/>
      <c r="AJ362" s="392"/>
      <c r="AK362" s="393"/>
      <c r="AL362" s="393"/>
      <c r="AM362" s="393"/>
      <c r="AN362" s="393"/>
      <c r="AO362" s="393"/>
      <c r="AP362" s="393"/>
      <c r="AQ362" s="393"/>
      <c r="AR362" s="401"/>
    </row>
    <row r="363" spans="1:44" ht="18" customHeight="1">
      <c r="C363" s="404" t="s">
        <v>101</v>
      </c>
      <c r="D363" s="405"/>
      <c r="E363" s="405"/>
      <c r="F363" s="405"/>
      <c r="G363" s="405" t="s">
        <v>283</v>
      </c>
      <c r="H363" s="405"/>
      <c r="I363" s="405"/>
      <c r="J363" s="405"/>
      <c r="K363" s="405"/>
      <c r="L363" s="405"/>
      <c r="M363" s="405"/>
      <c r="N363" s="405"/>
      <c r="O363" s="405"/>
      <c r="P363" s="405"/>
      <c r="Q363" s="405"/>
      <c r="R363" s="405"/>
      <c r="S363" s="405"/>
      <c r="T363" s="405"/>
      <c r="U363" s="405"/>
      <c r="V363" s="405"/>
      <c r="W363" s="405"/>
      <c r="X363" s="405"/>
      <c r="Y363" s="405"/>
      <c r="Z363" s="405"/>
      <c r="AA363" s="406"/>
      <c r="AB363" s="395"/>
      <c r="AC363" s="396"/>
      <c r="AD363" s="396"/>
      <c r="AE363" s="396"/>
      <c r="AF363" s="396"/>
      <c r="AG363" s="396"/>
      <c r="AH363" s="396"/>
      <c r="AI363" s="397"/>
      <c r="AJ363" s="395"/>
      <c r="AK363" s="396"/>
      <c r="AL363" s="396"/>
      <c r="AM363" s="396"/>
      <c r="AN363" s="396"/>
      <c r="AO363" s="396"/>
      <c r="AP363" s="396"/>
      <c r="AQ363" s="396"/>
      <c r="AR363" s="402"/>
    </row>
    <row r="364" spans="1:44" ht="18" customHeight="1">
      <c r="C364" s="404" t="s">
        <v>102</v>
      </c>
      <c r="D364" s="405"/>
      <c r="E364" s="405"/>
      <c r="F364" s="405"/>
      <c r="G364" s="405"/>
      <c r="H364" s="405"/>
      <c r="I364" s="405"/>
      <c r="J364" s="405"/>
      <c r="K364" s="405"/>
      <c r="L364" s="405"/>
      <c r="M364" s="405"/>
      <c r="N364" s="405"/>
      <c r="O364" s="405"/>
      <c r="P364" s="405"/>
      <c r="Q364" s="405"/>
      <c r="R364" s="405"/>
      <c r="S364" s="405"/>
      <c r="T364" s="405"/>
      <c r="U364" s="405"/>
      <c r="V364" s="405"/>
      <c r="W364" s="405"/>
      <c r="X364" s="405"/>
      <c r="Y364" s="405"/>
      <c r="Z364" s="405"/>
      <c r="AA364" s="406"/>
      <c r="AB364" s="395"/>
      <c r="AC364" s="396"/>
      <c r="AD364" s="396"/>
      <c r="AE364" s="396"/>
      <c r="AF364" s="396"/>
      <c r="AG364" s="396"/>
      <c r="AH364" s="396"/>
      <c r="AI364" s="397"/>
      <c r="AJ364" s="395"/>
      <c r="AK364" s="396"/>
      <c r="AL364" s="396"/>
      <c r="AM364" s="396"/>
      <c r="AN364" s="396"/>
      <c r="AO364" s="396"/>
      <c r="AP364" s="396"/>
      <c r="AQ364" s="396"/>
      <c r="AR364" s="402"/>
    </row>
    <row r="365" spans="1:44" ht="18" customHeight="1">
      <c r="C365" s="407"/>
      <c r="D365" s="408"/>
      <c r="E365" s="408"/>
      <c r="F365" s="408"/>
      <c r="G365" s="408"/>
      <c r="H365" s="408"/>
      <c r="I365" s="408"/>
      <c r="J365" s="408"/>
      <c r="K365" s="408"/>
      <c r="L365" s="408"/>
      <c r="M365" s="408"/>
      <c r="N365" s="408"/>
      <c r="O365" s="408"/>
      <c r="P365" s="408"/>
      <c r="Q365" s="408"/>
      <c r="R365" s="408"/>
      <c r="S365" s="408"/>
      <c r="T365" s="408"/>
      <c r="U365" s="408"/>
      <c r="V365" s="408"/>
      <c r="W365" s="408"/>
      <c r="X365" s="408"/>
      <c r="Y365" s="408"/>
      <c r="Z365" s="408"/>
      <c r="AA365" s="408"/>
      <c r="AB365" s="398"/>
      <c r="AC365" s="399"/>
      <c r="AD365" s="399"/>
      <c r="AE365" s="399"/>
      <c r="AF365" s="399"/>
      <c r="AG365" s="399"/>
      <c r="AH365" s="399"/>
      <c r="AI365" s="400"/>
      <c r="AJ365" s="398"/>
      <c r="AK365" s="399"/>
      <c r="AL365" s="399"/>
      <c r="AM365" s="399"/>
      <c r="AN365" s="399"/>
      <c r="AO365" s="399"/>
      <c r="AP365" s="399"/>
      <c r="AQ365" s="399"/>
      <c r="AR365" s="403"/>
    </row>
    <row r="367" spans="1:44" ht="18" customHeight="1">
      <c r="C367" s="850" t="s">
        <v>64</v>
      </c>
      <c r="D367" s="851"/>
      <c r="E367" s="851"/>
      <c r="F367" s="851"/>
      <c r="G367" s="851"/>
      <c r="H367" s="851"/>
      <c r="I367" s="851"/>
      <c r="J367" s="851"/>
      <c r="K367" s="851"/>
      <c r="L367" s="851"/>
      <c r="M367" s="851"/>
      <c r="N367" s="851"/>
      <c r="O367" s="851"/>
      <c r="P367" s="851"/>
      <c r="Q367" s="851"/>
      <c r="R367" s="851"/>
      <c r="S367" s="851"/>
      <c r="T367" s="851"/>
      <c r="U367" s="851"/>
      <c r="V367" s="851"/>
      <c r="W367" s="851"/>
      <c r="X367" s="851"/>
      <c r="Y367" s="851"/>
      <c r="Z367" s="851"/>
      <c r="AA367" s="851"/>
      <c r="AB367" s="851"/>
      <c r="AC367" s="851"/>
      <c r="AD367" s="851"/>
      <c r="AE367" s="851"/>
      <c r="AF367" s="851"/>
      <c r="AG367" s="851"/>
      <c r="AH367" s="851"/>
      <c r="AI367" s="851"/>
      <c r="AJ367" s="851"/>
      <c r="AK367" s="851"/>
      <c r="AL367" s="851"/>
      <c r="AM367" s="851"/>
      <c r="AN367" s="851"/>
      <c r="AO367" s="851"/>
      <c r="AP367" s="851"/>
      <c r="AQ367" s="851"/>
      <c r="AR367" s="852"/>
    </row>
    <row r="368" spans="1:44" ht="18" customHeight="1">
      <c r="C368" s="853"/>
      <c r="D368" s="854"/>
      <c r="E368" s="854"/>
      <c r="F368" s="854"/>
      <c r="G368" s="854"/>
      <c r="H368" s="854"/>
      <c r="I368" s="854"/>
      <c r="J368" s="854"/>
      <c r="K368" s="854"/>
      <c r="L368" s="854"/>
      <c r="M368" s="854"/>
      <c r="N368" s="854"/>
      <c r="O368" s="854"/>
      <c r="P368" s="854"/>
      <c r="Q368" s="854"/>
      <c r="R368" s="854"/>
      <c r="S368" s="854"/>
      <c r="T368" s="854"/>
      <c r="U368" s="854"/>
      <c r="V368" s="854"/>
      <c r="W368" s="854"/>
      <c r="X368" s="854"/>
      <c r="Y368" s="854"/>
      <c r="Z368" s="854"/>
      <c r="AA368" s="854"/>
      <c r="AB368" s="854"/>
      <c r="AC368" s="854"/>
      <c r="AD368" s="854"/>
      <c r="AE368" s="854"/>
      <c r="AF368" s="854"/>
      <c r="AG368" s="854"/>
      <c r="AH368" s="854"/>
      <c r="AI368" s="854"/>
      <c r="AJ368" s="854"/>
      <c r="AK368" s="854"/>
      <c r="AL368" s="854"/>
      <c r="AM368" s="854"/>
      <c r="AN368" s="854"/>
      <c r="AO368" s="854"/>
      <c r="AP368" s="854"/>
      <c r="AQ368" s="854"/>
      <c r="AR368" s="855"/>
    </row>
    <row r="369" spans="3:44" ht="18" customHeight="1">
      <c r="C369" s="856" t="s">
        <v>65</v>
      </c>
      <c r="D369" s="857"/>
      <c r="E369" s="857"/>
      <c r="F369" s="857"/>
      <c r="G369" s="860" t="s">
        <v>426</v>
      </c>
      <c r="H369" s="860"/>
      <c r="I369" s="860"/>
      <c r="J369" s="861"/>
      <c r="K369" s="864" t="s">
        <v>66</v>
      </c>
      <c r="L369" s="865"/>
      <c r="M369" s="865"/>
      <c r="N369" s="865"/>
      <c r="O369" s="526" t="s">
        <v>434</v>
      </c>
      <c r="P369" s="526"/>
      <c r="Q369" s="526"/>
      <c r="R369" s="526"/>
      <c r="S369" s="526"/>
      <c r="T369" s="526"/>
      <c r="U369" s="526"/>
      <c r="V369" s="526"/>
      <c r="W369" s="526"/>
      <c r="X369" s="526"/>
      <c r="Y369" s="526"/>
      <c r="Z369" s="526"/>
      <c r="AA369" s="526"/>
      <c r="AB369" s="526"/>
      <c r="AC369" s="526"/>
      <c r="AD369" s="526"/>
      <c r="AE369" s="526"/>
      <c r="AF369" s="526"/>
      <c r="AG369" s="526"/>
      <c r="AH369" s="526"/>
      <c r="AI369" s="526"/>
      <c r="AJ369" s="526"/>
      <c r="AK369" s="527"/>
      <c r="AL369" s="864" t="s">
        <v>67</v>
      </c>
      <c r="AM369" s="865"/>
      <c r="AN369" s="865"/>
      <c r="AO369" s="865"/>
      <c r="AP369" s="843" t="s">
        <v>194</v>
      </c>
      <c r="AQ369" s="843"/>
      <c r="AR369" s="844"/>
    </row>
    <row r="370" spans="3:44" ht="18" customHeight="1">
      <c r="C370" s="858"/>
      <c r="D370" s="859"/>
      <c r="E370" s="859"/>
      <c r="F370" s="859"/>
      <c r="G370" s="862"/>
      <c r="H370" s="862"/>
      <c r="I370" s="862"/>
      <c r="J370" s="863"/>
      <c r="K370" s="866"/>
      <c r="L370" s="867"/>
      <c r="M370" s="867"/>
      <c r="N370" s="867"/>
      <c r="O370" s="528"/>
      <c r="P370" s="528"/>
      <c r="Q370" s="528"/>
      <c r="R370" s="528"/>
      <c r="S370" s="528"/>
      <c r="T370" s="528"/>
      <c r="U370" s="528"/>
      <c r="V370" s="528"/>
      <c r="W370" s="528"/>
      <c r="X370" s="528"/>
      <c r="Y370" s="528"/>
      <c r="Z370" s="528"/>
      <c r="AA370" s="528"/>
      <c r="AB370" s="528"/>
      <c r="AC370" s="528"/>
      <c r="AD370" s="528"/>
      <c r="AE370" s="528"/>
      <c r="AF370" s="528"/>
      <c r="AG370" s="528"/>
      <c r="AH370" s="528"/>
      <c r="AI370" s="528"/>
      <c r="AJ370" s="528"/>
      <c r="AK370" s="529"/>
      <c r="AL370" s="866"/>
      <c r="AM370" s="867"/>
      <c r="AN370" s="867"/>
      <c r="AO370" s="867"/>
      <c r="AP370" s="845"/>
      <c r="AQ370" s="845"/>
      <c r="AR370" s="846"/>
    </row>
    <row r="372" spans="3:44" ht="18" customHeight="1">
      <c r="C372" s="794" t="s">
        <v>43</v>
      </c>
      <c r="D372" s="774"/>
      <c r="E372" s="775"/>
      <c r="F372" s="773" t="s">
        <v>68</v>
      </c>
      <c r="G372" s="774"/>
      <c r="H372" s="774"/>
      <c r="I372" s="774"/>
      <c r="J372" s="774"/>
      <c r="K372" s="774"/>
      <c r="L372" s="774"/>
      <c r="M372" s="774"/>
      <c r="N372" s="774"/>
      <c r="O372" s="774"/>
      <c r="P372" s="774"/>
      <c r="Q372" s="774"/>
      <c r="R372" s="774"/>
      <c r="S372" s="774"/>
      <c r="T372" s="774"/>
      <c r="U372" s="775"/>
      <c r="V372" s="773" t="s">
        <v>249</v>
      </c>
      <c r="W372" s="774"/>
      <c r="X372" s="775"/>
      <c r="Y372" s="847" t="s">
        <v>69</v>
      </c>
      <c r="Z372" s="848"/>
      <c r="AA372" s="848"/>
      <c r="AB372" s="848"/>
      <c r="AC372" s="848"/>
      <c r="AD372" s="848"/>
      <c r="AE372" s="848"/>
      <c r="AF372" s="849"/>
      <c r="AG372" s="847" t="s">
        <v>70</v>
      </c>
      <c r="AH372" s="848"/>
      <c r="AI372" s="848"/>
      <c r="AJ372" s="848"/>
      <c r="AK372" s="848"/>
      <c r="AL372" s="848"/>
      <c r="AM372" s="848"/>
      <c r="AN372" s="849"/>
      <c r="AO372" s="773" t="s">
        <v>71</v>
      </c>
      <c r="AP372" s="774"/>
      <c r="AQ372" s="774"/>
      <c r="AR372" s="779"/>
    </row>
    <row r="373" spans="3:44" ht="18" customHeight="1">
      <c r="C373" s="795"/>
      <c r="D373" s="777"/>
      <c r="E373" s="778"/>
      <c r="F373" s="776"/>
      <c r="G373" s="777"/>
      <c r="H373" s="777"/>
      <c r="I373" s="777"/>
      <c r="J373" s="777"/>
      <c r="K373" s="777"/>
      <c r="L373" s="777"/>
      <c r="M373" s="777"/>
      <c r="N373" s="777"/>
      <c r="O373" s="777"/>
      <c r="P373" s="777"/>
      <c r="Q373" s="777"/>
      <c r="R373" s="777"/>
      <c r="S373" s="777"/>
      <c r="T373" s="777"/>
      <c r="U373" s="778"/>
      <c r="V373" s="776"/>
      <c r="W373" s="777"/>
      <c r="X373" s="778"/>
      <c r="Y373" s="834" t="s">
        <v>72</v>
      </c>
      <c r="Z373" s="835"/>
      <c r="AA373" s="835"/>
      <c r="AB373" s="836"/>
      <c r="AC373" s="834" t="s">
        <v>73</v>
      </c>
      <c r="AD373" s="835"/>
      <c r="AE373" s="835"/>
      <c r="AF373" s="836"/>
      <c r="AG373" s="834" t="s">
        <v>72</v>
      </c>
      <c r="AH373" s="835"/>
      <c r="AI373" s="835"/>
      <c r="AJ373" s="836"/>
      <c r="AK373" s="834" t="s">
        <v>73</v>
      </c>
      <c r="AL373" s="835"/>
      <c r="AM373" s="835"/>
      <c r="AN373" s="836"/>
      <c r="AO373" s="776"/>
      <c r="AP373" s="777"/>
      <c r="AQ373" s="777"/>
      <c r="AR373" s="780"/>
    </row>
    <row r="374" spans="3:44" ht="18" customHeight="1">
      <c r="C374" s="781"/>
      <c r="D374" s="782"/>
      <c r="E374" s="783"/>
      <c r="F374" s="493"/>
      <c r="G374" s="493"/>
      <c r="H374" s="493"/>
      <c r="I374" s="493"/>
      <c r="J374" s="493"/>
      <c r="K374" s="493"/>
      <c r="L374" s="493"/>
      <c r="M374" s="493"/>
      <c r="N374" s="493"/>
      <c r="O374" s="493"/>
      <c r="P374" s="493"/>
      <c r="Q374" s="493"/>
      <c r="R374" s="493"/>
      <c r="S374" s="493"/>
      <c r="T374" s="493"/>
      <c r="U374" s="493"/>
      <c r="V374" s="837"/>
      <c r="W374" s="838"/>
      <c r="X374" s="839"/>
      <c r="Y374" s="837"/>
      <c r="Z374" s="838"/>
      <c r="AA374" s="838"/>
      <c r="AB374" s="839"/>
      <c r="AC374" s="868"/>
      <c r="AD374" s="869"/>
      <c r="AE374" s="869"/>
      <c r="AF374" s="870"/>
      <c r="AG374" s="491"/>
      <c r="AH374" s="491"/>
      <c r="AI374" s="491"/>
      <c r="AJ374" s="491"/>
      <c r="AK374" s="491"/>
      <c r="AL374" s="491"/>
      <c r="AM374" s="491"/>
      <c r="AN374" s="491"/>
      <c r="AO374" s="491"/>
      <c r="AP374" s="491"/>
      <c r="AQ374" s="491"/>
      <c r="AR374" s="492"/>
    </row>
    <row r="375" spans="3:44" ht="18" customHeight="1">
      <c r="C375" s="758"/>
      <c r="D375" s="759"/>
      <c r="E375" s="760"/>
      <c r="F375" s="493"/>
      <c r="G375" s="493"/>
      <c r="H375" s="493"/>
      <c r="I375" s="493"/>
      <c r="J375" s="493"/>
      <c r="K375" s="493"/>
      <c r="L375" s="493"/>
      <c r="M375" s="493"/>
      <c r="N375" s="493"/>
      <c r="O375" s="493"/>
      <c r="P375" s="493"/>
      <c r="Q375" s="493"/>
      <c r="R375" s="493"/>
      <c r="S375" s="493"/>
      <c r="T375" s="493"/>
      <c r="U375" s="493"/>
      <c r="V375" s="466"/>
      <c r="W375" s="467"/>
      <c r="X375" s="468"/>
      <c r="Y375" s="466"/>
      <c r="Z375" s="467"/>
      <c r="AA375" s="467"/>
      <c r="AB375" s="468"/>
      <c r="AC375" s="828"/>
      <c r="AD375" s="829"/>
      <c r="AE375" s="829"/>
      <c r="AF375" s="830"/>
      <c r="AG375" s="491"/>
      <c r="AH375" s="491"/>
      <c r="AI375" s="491"/>
      <c r="AJ375" s="491"/>
      <c r="AK375" s="491"/>
      <c r="AL375" s="491"/>
      <c r="AM375" s="491"/>
      <c r="AN375" s="491"/>
      <c r="AO375" s="491"/>
      <c r="AP375" s="491"/>
      <c r="AQ375" s="491"/>
      <c r="AR375" s="492"/>
    </row>
    <row r="376" spans="3:44" ht="18" customHeight="1">
      <c r="C376" s="758"/>
      <c r="D376" s="759"/>
      <c r="E376" s="760"/>
      <c r="F376" s="493"/>
      <c r="G376" s="493"/>
      <c r="H376" s="493"/>
      <c r="I376" s="493"/>
      <c r="J376" s="493"/>
      <c r="K376" s="493"/>
      <c r="L376" s="493"/>
      <c r="M376" s="493"/>
      <c r="N376" s="493"/>
      <c r="O376" s="493"/>
      <c r="P376" s="493"/>
      <c r="Q376" s="493"/>
      <c r="R376" s="493"/>
      <c r="S376" s="493"/>
      <c r="T376" s="493"/>
      <c r="U376" s="493"/>
      <c r="V376" s="466"/>
      <c r="W376" s="467"/>
      <c r="X376" s="468"/>
      <c r="Y376" s="466"/>
      <c r="Z376" s="467"/>
      <c r="AA376" s="467"/>
      <c r="AB376" s="468"/>
      <c r="AC376" s="828"/>
      <c r="AD376" s="829"/>
      <c r="AE376" s="829"/>
      <c r="AF376" s="830"/>
      <c r="AG376" s="491"/>
      <c r="AH376" s="491"/>
      <c r="AI376" s="491"/>
      <c r="AJ376" s="491"/>
      <c r="AK376" s="491"/>
      <c r="AL376" s="491"/>
      <c r="AM376" s="491"/>
      <c r="AN376" s="491"/>
      <c r="AO376" s="491"/>
      <c r="AP376" s="491"/>
      <c r="AQ376" s="491"/>
      <c r="AR376" s="492"/>
    </row>
    <row r="377" spans="3:44" ht="18" customHeight="1">
      <c r="C377" s="758"/>
      <c r="D377" s="759"/>
      <c r="E377" s="760"/>
      <c r="F377" s="493"/>
      <c r="G377" s="493"/>
      <c r="H377" s="493"/>
      <c r="I377" s="493"/>
      <c r="J377" s="493"/>
      <c r="K377" s="493"/>
      <c r="L377" s="493"/>
      <c r="M377" s="493"/>
      <c r="N377" s="493"/>
      <c r="O377" s="493"/>
      <c r="P377" s="493"/>
      <c r="Q377" s="493"/>
      <c r="R377" s="493"/>
      <c r="S377" s="493"/>
      <c r="T377" s="493"/>
      <c r="U377" s="493"/>
      <c r="V377" s="466"/>
      <c r="W377" s="467"/>
      <c r="X377" s="468"/>
      <c r="Y377" s="466"/>
      <c r="Z377" s="467"/>
      <c r="AA377" s="467"/>
      <c r="AB377" s="468"/>
      <c r="AC377" s="828"/>
      <c r="AD377" s="829"/>
      <c r="AE377" s="829"/>
      <c r="AF377" s="830"/>
      <c r="AG377" s="491"/>
      <c r="AH377" s="491"/>
      <c r="AI377" s="491"/>
      <c r="AJ377" s="491"/>
      <c r="AK377" s="491"/>
      <c r="AL377" s="491"/>
      <c r="AM377" s="491"/>
      <c r="AN377" s="491"/>
      <c r="AO377" s="491"/>
      <c r="AP377" s="491"/>
      <c r="AQ377" s="491"/>
      <c r="AR377" s="492"/>
    </row>
    <row r="378" spans="3:44" ht="18" customHeight="1">
      <c r="C378" s="758"/>
      <c r="D378" s="759"/>
      <c r="E378" s="760"/>
      <c r="F378" s="493"/>
      <c r="G378" s="493"/>
      <c r="H378" s="493"/>
      <c r="I378" s="493"/>
      <c r="J378" s="493"/>
      <c r="K378" s="493"/>
      <c r="L378" s="493"/>
      <c r="M378" s="493"/>
      <c r="N378" s="493"/>
      <c r="O378" s="493"/>
      <c r="P378" s="493"/>
      <c r="Q378" s="493"/>
      <c r="R378" s="493"/>
      <c r="S378" s="493"/>
      <c r="T378" s="493"/>
      <c r="U378" s="493"/>
      <c r="V378" s="466"/>
      <c r="W378" s="467"/>
      <c r="X378" s="468"/>
      <c r="Y378" s="466"/>
      <c r="Z378" s="467"/>
      <c r="AA378" s="467"/>
      <c r="AB378" s="468"/>
      <c r="AC378" s="828"/>
      <c r="AD378" s="829"/>
      <c r="AE378" s="829"/>
      <c r="AF378" s="830"/>
      <c r="AG378" s="491"/>
      <c r="AH378" s="491"/>
      <c r="AI378" s="491"/>
      <c r="AJ378" s="491"/>
      <c r="AK378" s="491"/>
      <c r="AL378" s="491"/>
      <c r="AM378" s="491"/>
      <c r="AN378" s="491"/>
      <c r="AO378" s="491"/>
      <c r="AP378" s="491"/>
      <c r="AQ378" s="491"/>
      <c r="AR378" s="492"/>
    </row>
    <row r="379" spans="3:44" ht="18" customHeight="1">
      <c r="C379" s="758"/>
      <c r="D379" s="759"/>
      <c r="E379" s="760"/>
      <c r="F379" s="493"/>
      <c r="G379" s="493"/>
      <c r="H379" s="493"/>
      <c r="I379" s="493"/>
      <c r="J379" s="493"/>
      <c r="K379" s="493"/>
      <c r="L379" s="493"/>
      <c r="M379" s="493"/>
      <c r="N379" s="493"/>
      <c r="O379" s="493"/>
      <c r="P379" s="493"/>
      <c r="Q379" s="493"/>
      <c r="R379" s="493"/>
      <c r="S379" s="493"/>
      <c r="T379" s="493"/>
      <c r="U379" s="493"/>
      <c r="V379" s="466"/>
      <c r="W379" s="467"/>
      <c r="X379" s="468"/>
      <c r="Y379" s="466"/>
      <c r="Z379" s="467"/>
      <c r="AA379" s="467"/>
      <c r="AB379" s="468"/>
      <c r="AC379" s="828"/>
      <c r="AD379" s="829"/>
      <c r="AE379" s="829"/>
      <c r="AF379" s="830"/>
      <c r="AG379" s="491"/>
      <c r="AH379" s="491"/>
      <c r="AI379" s="491"/>
      <c r="AJ379" s="491"/>
      <c r="AK379" s="491"/>
      <c r="AL379" s="491"/>
      <c r="AM379" s="491"/>
      <c r="AN379" s="491"/>
      <c r="AO379" s="491"/>
      <c r="AP379" s="491"/>
      <c r="AQ379" s="491"/>
      <c r="AR379" s="492"/>
    </row>
    <row r="380" spans="3:44" ht="18" customHeight="1">
      <c r="C380" s="758"/>
      <c r="D380" s="759"/>
      <c r="E380" s="760"/>
      <c r="F380" s="796"/>
      <c r="G380" s="797"/>
      <c r="H380" s="797"/>
      <c r="I380" s="797"/>
      <c r="J380" s="797"/>
      <c r="K380" s="797"/>
      <c r="L380" s="797"/>
      <c r="M380" s="797"/>
      <c r="N380" s="797"/>
      <c r="O380" s="797"/>
      <c r="P380" s="797"/>
      <c r="Q380" s="797"/>
      <c r="R380" s="797"/>
      <c r="S380" s="797"/>
      <c r="T380" s="797"/>
      <c r="U380" s="798"/>
      <c r="V380" s="466"/>
      <c r="W380" s="467"/>
      <c r="X380" s="468"/>
      <c r="Y380" s="466"/>
      <c r="Z380" s="467"/>
      <c r="AA380" s="467"/>
      <c r="AB380" s="468"/>
      <c r="AC380" s="828"/>
      <c r="AD380" s="829"/>
      <c r="AE380" s="829"/>
      <c r="AF380" s="830"/>
      <c r="AG380" s="466"/>
      <c r="AH380" s="467"/>
      <c r="AI380" s="467"/>
      <c r="AJ380" s="468"/>
      <c r="AK380" s="466"/>
      <c r="AL380" s="467"/>
      <c r="AM380" s="467"/>
      <c r="AN380" s="468"/>
      <c r="AO380" s="466"/>
      <c r="AP380" s="467"/>
      <c r="AQ380" s="467"/>
      <c r="AR380" s="823"/>
    </row>
    <row r="381" spans="3:44" ht="18" customHeight="1">
      <c r="C381" s="758"/>
      <c r="D381" s="759"/>
      <c r="E381" s="760"/>
      <c r="F381" s="796"/>
      <c r="G381" s="797"/>
      <c r="H381" s="797"/>
      <c r="I381" s="797"/>
      <c r="J381" s="797"/>
      <c r="K381" s="797"/>
      <c r="L381" s="797"/>
      <c r="M381" s="797"/>
      <c r="N381" s="797"/>
      <c r="O381" s="797"/>
      <c r="P381" s="797"/>
      <c r="Q381" s="797"/>
      <c r="R381" s="797"/>
      <c r="S381" s="797"/>
      <c r="T381" s="797"/>
      <c r="U381" s="798"/>
      <c r="V381" s="466"/>
      <c r="W381" s="467"/>
      <c r="X381" s="468"/>
      <c r="Y381" s="466"/>
      <c r="Z381" s="467"/>
      <c r="AA381" s="467"/>
      <c r="AB381" s="468"/>
      <c r="AC381" s="828"/>
      <c r="AD381" s="829"/>
      <c r="AE381" s="829"/>
      <c r="AF381" s="830"/>
      <c r="AG381" s="466"/>
      <c r="AH381" s="467"/>
      <c r="AI381" s="467"/>
      <c r="AJ381" s="468"/>
      <c r="AK381" s="466"/>
      <c r="AL381" s="467"/>
      <c r="AM381" s="467"/>
      <c r="AN381" s="468"/>
      <c r="AO381" s="466"/>
      <c r="AP381" s="467"/>
      <c r="AQ381" s="467"/>
      <c r="AR381" s="823"/>
    </row>
    <row r="382" spans="3:44" ht="18" customHeight="1">
      <c r="C382" s="743"/>
      <c r="D382" s="744"/>
      <c r="E382" s="744"/>
      <c r="F382" s="744"/>
      <c r="G382" s="744"/>
      <c r="H382" s="744"/>
      <c r="I382" s="744"/>
      <c r="J382" s="744"/>
      <c r="K382" s="744"/>
      <c r="L382" s="744"/>
      <c r="M382" s="744"/>
      <c r="N382" s="744"/>
      <c r="O382" s="744"/>
      <c r="P382" s="744"/>
      <c r="Q382" s="744"/>
      <c r="R382" s="744"/>
      <c r="S382" s="744"/>
      <c r="T382" s="744"/>
      <c r="U382" s="744"/>
      <c r="V382" s="744"/>
      <c r="W382" s="744"/>
      <c r="X382" s="824"/>
      <c r="Y382" s="825" t="s">
        <v>74</v>
      </c>
      <c r="Z382" s="826"/>
      <c r="AA382" s="826"/>
      <c r="AB382" s="826"/>
      <c r="AC382" s="826"/>
      <c r="AD382" s="826"/>
      <c r="AE382" s="826"/>
      <c r="AF382" s="826"/>
      <c r="AG382" s="826"/>
      <c r="AH382" s="826"/>
      <c r="AI382" s="826"/>
      <c r="AJ382" s="826"/>
      <c r="AK382" s="826"/>
      <c r="AL382" s="826"/>
      <c r="AM382" s="826"/>
      <c r="AN382" s="827"/>
      <c r="AO382" s="477">
        <f>SUM(AO374:AR381)</f>
        <v>0</v>
      </c>
      <c r="AP382" s="746"/>
      <c r="AQ382" s="746"/>
      <c r="AR382" s="747"/>
    </row>
    <row r="384" spans="3:44" ht="18" customHeight="1">
      <c r="C384" s="794" t="s">
        <v>43</v>
      </c>
      <c r="D384" s="774"/>
      <c r="E384" s="775"/>
      <c r="F384" s="773" t="s">
        <v>75</v>
      </c>
      <c r="G384" s="774"/>
      <c r="H384" s="774"/>
      <c r="I384" s="774"/>
      <c r="J384" s="774"/>
      <c r="K384" s="774"/>
      <c r="L384" s="774"/>
      <c r="M384" s="774"/>
      <c r="N384" s="774"/>
      <c r="O384" s="774"/>
      <c r="P384" s="774"/>
      <c r="Q384" s="774"/>
      <c r="R384" s="774"/>
      <c r="S384" s="774"/>
      <c r="T384" s="774"/>
      <c r="U384" s="774"/>
      <c r="V384" s="774"/>
      <c r="W384" s="774"/>
      <c r="X384" s="774"/>
      <c r="Y384" s="774"/>
      <c r="Z384" s="774"/>
      <c r="AA384" s="774"/>
      <c r="AB384" s="775"/>
      <c r="AC384" s="773" t="s">
        <v>76</v>
      </c>
      <c r="AD384" s="774"/>
      <c r="AE384" s="774"/>
      <c r="AF384" s="775"/>
      <c r="AG384" s="773" t="s">
        <v>249</v>
      </c>
      <c r="AH384" s="774"/>
      <c r="AI384" s="774"/>
      <c r="AJ384" s="775"/>
      <c r="AK384" s="773" t="s">
        <v>77</v>
      </c>
      <c r="AL384" s="774"/>
      <c r="AM384" s="774"/>
      <c r="AN384" s="775"/>
      <c r="AO384" s="773" t="s">
        <v>71</v>
      </c>
      <c r="AP384" s="774"/>
      <c r="AQ384" s="774"/>
      <c r="AR384" s="779"/>
    </row>
    <row r="385" spans="3:44" ht="18" customHeight="1">
      <c r="C385" s="795"/>
      <c r="D385" s="777"/>
      <c r="E385" s="778"/>
      <c r="F385" s="776"/>
      <c r="G385" s="777"/>
      <c r="H385" s="777"/>
      <c r="I385" s="777"/>
      <c r="J385" s="777"/>
      <c r="K385" s="777"/>
      <c r="L385" s="777"/>
      <c r="M385" s="777"/>
      <c r="N385" s="777"/>
      <c r="O385" s="777"/>
      <c r="P385" s="777"/>
      <c r="Q385" s="777"/>
      <c r="R385" s="777"/>
      <c r="S385" s="777"/>
      <c r="T385" s="777"/>
      <c r="U385" s="777"/>
      <c r="V385" s="777"/>
      <c r="W385" s="777"/>
      <c r="X385" s="777"/>
      <c r="Y385" s="777"/>
      <c r="Z385" s="777"/>
      <c r="AA385" s="777"/>
      <c r="AB385" s="778"/>
      <c r="AC385" s="776"/>
      <c r="AD385" s="777"/>
      <c r="AE385" s="777"/>
      <c r="AF385" s="778"/>
      <c r="AG385" s="776"/>
      <c r="AH385" s="777"/>
      <c r="AI385" s="777"/>
      <c r="AJ385" s="778"/>
      <c r="AK385" s="776"/>
      <c r="AL385" s="777"/>
      <c r="AM385" s="777"/>
      <c r="AN385" s="778"/>
      <c r="AO385" s="776"/>
      <c r="AP385" s="777"/>
      <c r="AQ385" s="777"/>
      <c r="AR385" s="780"/>
    </row>
    <row r="386" spans="3:44" ht="18" customHeight="1">
      <c r="C386" s="781" t="s">
        <v>940</v>
      </c>
      <c r="D386" s="782"/>
      <c r="E386" s="783"/>
      <c r="F386" s="493" t="s">
        <v>105</v>
      </c>
      <c r="G386" s="493"/>
      <c r="H386" s="493"/>
      <c r="I386" s="493"/>
      <c r="J386" s="493"/>
      <c r="K386" s="493"/>
      <c r="L386" s="493"/>
      <c r="M386" s="493"/>
      <c r="N386" s="493"/>
      <c r="O386" s="493"/>
      <c r="P386" s="493"/>
      <c r="Q386" s="493"/>
      <c r="R386" s="493"/>
      <c r="S386" s="493"/>
      <c r="T386" s="493"/>
      <c r="U386" s="493"/>
      <c r="V386" s="493"/>
      <c r="W386" s="493"/>
      <c r="X386" s="493"/>
      <c r="Y386" s="493"/>
      <c r="Z386" s="493"/>
      <c r="AA386" s="493"/>
      <c r="AB386" s="493"/>
      <c r="AC386" s="770"/>
      <c r="AD386" s="771"/>
      <c r="AE386" s="771"/>
      <c r="AF386" s="790"/>
      <c r="AG386" s="770">
        <v>3</v>
      </c>
      <c r="AH386" s="771"/>
      <c r="AI386" s="771"/>
      <c r="AJ386" s="790"/>
      <c r="AK386" s="449">
        <f>VLOOKUP(C386,[4]MÃODEOBRA!A$1:D$65536,4,FALSE)</f>
        <v>22.98488</v>
      </c>
      <c r="AL386" s="449"/>
      <c r="AM386" s="449"/>
      <c r="AN386" s="449"/>
      <c r="AO386" s="491">
        <f>ROUND(AG386*AK386,2)</f>
        <v>68.95</v>
      </c>
      <c r="AP386" s="491"/>
      <c r="AQ386" s="491"/>
      <c r="AR386" s="492"/>
    </row>
    <row r="387" spans="3:44" ht="18" customHeight="1">
      <c r="C387" s="758"/>
      <c r="D387" s="759"/>
      <c r="E387" s="760"/>
      <c r="F387" s="493"/>
      <c r="G387" s="493"/>
      <c r="H387" s="493"/>
      <c r="I387" s="493"/>
      <c r="J387" s="493"/>
      <c r="K387" s="493"/>
      <c r="L387" s="493"/>
      <c r="M387" s="493"/>
      <c r="N387" s="493"/>
      <c r="O387" s="493"/>
      <c r="P387" s="493"/>
      <c r="Q387" s="493"/>
      <c r="R387" s="493"/>
      <c r="S387" s="493"/>
      <c r="T387" s="493"/>
      <c r="U387" s="493"/>
      <c r="V387" s="493"/>
      <c r="W387" s="493"/>
      <c r="X387" s="493"/>
      <c r="Y387" s="493"/>
      <c r="Z387" s="493"/>
      <c r="AA387" s="493"/>
      <c r="AB387" s="493"/>
      <c r="AC387" s="740"/>
      <c r="AD387" s="741"/>
      <c r="AE387" s="741"/>
      <c r="AF387" s="757"/>
      <c r="AG387" s="740"/>
      <c r="AH387" s="741"/>
      <c r="AI387" s="741"/>
      <c r="AJ387" s="757"/>
      <c r="AK387" s="449"/>
      <c r="AL387" s="449"/>
      <c r="AM387" s="449"/>
      <c r="AN387" s="449"/>
      <c r="AO387" s="491"/>
      <c r="AP387" s="491"/>
      <c r="AQ387" s="491"/>
      <c r="AR387" s="492"/>
    </row>
    <row r="388" spans="3:44" ht="18" customHeight="1">
      <c r="C388" s="758"/>
      <c r="D388" s="759"/>
      <c r="E388" s="760"/>
      <c r="F388" s="796"/>
      <c r="G388" s="797"/>
      <c r="H388" s="797"/>
      <c r="I388" s="797"/>
      <c r="J388" s="797"/>
      <c r="K388" s="797"/>
      <c r="L388" s="797"/>
      <c r="M388" s="797"/>
      <c r="N388" s="797"/>
      <c r="O388" s="797"/>
      <c r="P388" s="797"/>
      <c r="Q388" s="797"/>
      <c r="R388" s="797"/>
      <c r="S388" s="797"/>
      <c r="T388" s="797"/>
      <c r="U388" s="797"/>
      <c r="V388" s="797"/>
      <c r="W388" s="797"/>
      <c r="X388" s="797"/>
      <c r="Y388" s="797"/>
      <c r="Z388" s="797"/>
      <c r="AA388" s="797"/>
      <c r="AB388" s="798"/>
      <c r="AC388" s="740"/>
      <c r="AD388" s="741"/>
      <c r="AE388" s="741"/>
      <c r="AF388" s="757"/>
      <c r="AG388" s="740"/>
      <c r="AH388" s="741"/>
      <c r="AI388" s="741"/>
      <c r="AJ388" s="757"/>
      <c r="AK388" s="740"/>
      <c r="AL388" s="741"/>
      <c r="AM388" s="741"/>
      <c r="AN388" s="757"/>
      <c r="AO388" s="466"/>
      <c r="AP388" s="467"/>
      <c r="AQ388" s="467"/>
      <c r="AR388" s="823"/>
    </row>
    <row r="389" spans="3:44" ht="18" customHeight="1">
      <c r="C389" s="758"/>
      <c r="D389" s="759"/>
      <c r="E389" s="760"/>
      <c r="F389" s="796"/>
      <c r="G389" s="797"/>
      <c r="H389" s="797"/>
      <c r="I389" s="797"/>
      <c r="J389" s="797"/>
      <c r="K389" s="797"/>
      <c r="L389" s="797"/>
      <c r="M389" s="797"/>
      <c r="N389" s="797"/>
      <c r="O389" s="797"/>
      <c r="P389" s="797"/>
      <c r="Q389" s="797"/>
      <c r="R389" s="797"/>
      <c r="S389" s="797"/>
      <c r="T389" s="797"/>
      <c r="U389" s="797"/>
      <c r="V389" s="797"/>
      <c r="W389" s="797"/>
      <c r="X389" s="797"/>
      <c r="Y389" s="797"/>
      <c r="Z389" s="797"/>
      <c r="AA389" s="797"/>
      <c r="AB389" s="798"/>
      <c r="AC389" s="740"/>
      <c r="AD389" s="741"/>
      <c r="AE389" s="741"/>
      <c r="AF389" s="757"/>
      <c r="AG389" s="740"/>
      <c r="AH389" s="741"/>
      <c r="AI389" s="741"/>
      <c r="AJ389" s="757"/>
      <c r="AK389" s="740"/>
      <c r="AL389" s="741"/>
      <c r="AM389" s="741"/>
      <c r="AN389" s="757"/>
      <c r="AO389" s="466"/>
      <c r="AP389" s="467"/>
      <c r="AQ389" s="467"/>
      <c r="AR389" s="823"/>
    </row>
    <row r="390" spans="3:44" ht="18" customHeight="1">
      <c r="C390" s="758"/>
      <c r="D390" s="759"/>
      <c r="E390" s="760"/>
      <c r="F390" s="796"/>
      <c r="G390" s="797"/>
      <c r="H390" s="797"/>
      <c r="I390" s="797"/>
      <c r="J390" s="797"/>
      <c r="K390" s="797"/>
      <c r="L390" s="797"/>
      <c r="M390" s="797"/>
      <c r="N390" s="797"/>
      <c r="O390" s="797"/>
      <c r="P390" s="797"/>
      <c r="Q390" s="797"/>
      <c r="R390" s="797"/>
      <c r="S390" s="797"/>
      <c r="T390" s="797"/>
      <c r="U390" s="797"/>
      <c r="V390" s="797"/>
      <c r="W390" s="797"/>
      <c r="X390" s="797"/>
      <c r="Y390" s="797"/>
      <c r="Z390" s="797"/>
      <c r="AA390" s="797"/>
      <c r="AB390" s="798"/>
      <c r="AC390" s="740"/>
      <c r="AD390" s="741"/>
      <c r="AE390" s="741"/>
      <c r="AF390" s="757"/>
      <c r="AG390" s="740"/>
      <c r="AH390" s="741"/>
      <c r="AI390" s="741"/>
      <c r="AJ390" s="757"/>
      <c r="AK390" s="740"/>
      <c r="AL390" s="741"/>
      <c r="AM390" s="741"/>
      <c r="AN390" s="757"/>
      <c r="AO390" s="466"/>
      <c r="AP390" s="467"/>
      <c r="AQ390" s="467"/>
      <c r="AR390" s="823"/>
    </row>
    <row r="391" spans="3:44" ht="18" customHeight="1">
      <c r="C391" s="758"/>
      <c r="D391" s="759"/>
      <c r="E391" s="760"/>
      <c r="F391" s="796"/>
      <c r="G391" s="797"/>
      <c r="H391" s="797"/>
      <c r="I391" s="797"/>
      <c r="J391" s="797"/>
      <c r="K391" s="797"/>
      <c r="L391" s="797"/>
      <c r="M391" s="797"/>
      <c r="N391" s="797"/>
      <c r="O391" s="797"/>
      <c r="P391" s="797"/>
      <c r="Q391" s="797"/>
      <c r="R391" s="797"/>
      <c r="S391" s="797"/>
      <c r="T391" s="797"/>
      <c r="U391" s="797"/>
      <c r="V391" s="797"/>
      <c r="W391" s="797"/>
      <c r="X391" s="797"/>
      <c r="Y391" s="797"/>
      <c r="Z391" s="797"/>
      <c r="AA391" s="797"/>
      <c r="AB391" s="798"/>
      <c r="AC391" s="740"/>
      <c r="AD391" s="741"/>
      <c r="AE391" s="741"/>
      <c r="AF391" s="757"/>
      <c r="AG391" s="740"/>
      <c r="AH391" s="741"/>
      <c r="AI391" s="741"/>
      <c r="AJ391" s="757"/>
      <c r="AK391" s="740"/>
      <c r="AL391" s="741"/>
      <c r="AM391" s="741"/>
      <c r="AN391" s="757"/>
      <c r="AO391" s="466"/>
      <c r="AP391" s="467"/>
      <c r="AQ391" s="467"/>
      <c r="AR391" s="823"/>
    </row>
    <row r="392" spans="3:44" ht="18" customHeight="1">
      <c r="C392" s="758"/>
      <c r="D392" s="759"/>
      <c r="E392" s="760"/>
      <c r="F392" s="796"/>
      <c r="G392" s="797"/>
      <c r="H392" s="797"/>
      <c r="I392" s="797"/>
      <c r="J392" s="797"/>
      <c r="K392" s="797"/>
      <c r="L392" s="797"/>
      <c r="M392" s="797"/>
      <c r="N392" s="797"/>
      <c r="O392" s="797"/>
      <c r="P392" s="797"/>
      <c r="Q392" s="797"/>
      <c r="R392" s="797"/>
      <c r="S392" s="797"/>
      <c r="T392" s="797"/>
      <c r="U392" s="797"/>
      <c r="V392" s="797"/>
      <c r="W392" s="797"/>
      <c r="X392" s="797"/>
      <c r="Y392" s="797"/>
      <c r="Z392" s="797"/>
      <c r="AA392" s="797"/>
      <c r="AB392" s="798"/>
      <c r="AC392" s="740"/>
      <c r="AD392" s="741"/>
      <c r="AE392" s="741"/>
      <c r="AF392" s="757"/>
      <c r="AG392" s="740"/>
      <c r="AH392" s="741"/>
      <c r="AI392" s="741"/>
      <c r="AJ392" s="757"/>
      <c r="AK392" s="740"/>
      <c r="AL392" s="741"/>
      <c r="AM392" s="741"/>
      <c r="AN392" s="757"/>
      <c r="AO392" s="466"/>
      <c r="AP392" s="467"/>
      <c r="AQ392" s="467"/>
      <c r="AR392" s="823"/>
    </row>
    <row r="393" spans="3:44" ht="18" customHeight="1">
      <c r="C393" s="758"/>
      <c r="D393" s="759"/>
      <c r="E393" s="760"/>
      <c r="F393" s="796"/>
      <c r="G393" s="797"/>
      <c r="H393" s="797"/>
      <c r="I393" s="797"/>
      <c r="J393" s="797"/>
      <c r="K393" s="797"/>
      <c r="L393" s="797"/>
      <c r="M393" s="797"/>
      <c r="N393" s="797"/>
      <c r="O393" s="797"/>
      <c r="P393" s="797"/>
      <c r="Q393" s="797"/>
      <c r="R393" s="797"/>
      <c r="S393" s="797"/>
      <c r="T393" s="797"/>
      <c r="U393" s="797"/>
      <c r="V393" s="797"/>
      <c r="W393" s="797"/>
      <c r="X393" s="797"/>
      <c r="Y393" s="797"/>
      <c r="Z393" s="797"/>
      <c r="AA393" s="797"/>
      <c r="AB393" s="798"/>
      <c r="AC393" s="740"/>
      <c r="AD393" s="741"/>
      <c r="AE393" s="741"/>
      <c r="AF393" s="757"/>
      <c r="AG393" s="740"/>
      <c r="AH393" s="741"/>
      <c r="AI393" s="741"/>
      <c r="AJ393" s="757"/>
      <c r="AK393" s="740"/>
      <c r="AL393" s="741"/>
      <c r="AM393" s="741"/>
      <c r="AN393" s="757"/>
      <c r="AO393" s="466"/>
      <c r="AP393" s="467"/>
      <c r="AQ393" s="467"/>
      <c r="AR393" s="823"/>
    </row>
    <row r="394" spans="3:44" ht="18" customHeight="1">
      <c r="C394" s="814"/>
      <c r="D394" s="815"/>
      <c r="E394" s="815"/>
      <c r="F394" s="815"/>
      <c r="G394" s="815"/>
      <c r="H394" s="815"/>
      <c r="I394" s="815"/>
      <c r="J394" s="815"/>
      <c r="K394" s="815"/>
      <c r="L394" s="815"/>
      <c r="M394" s="815"/>
      <c r="N394" s="815"/>
      <c r="O394" s="815"/>
      <c r="P394" s="815"/>
      <c r="Q394" s="815"/>
      <c r="R394" s="815"/>
      <c r="S394" s="815"/>
      <c r="T394" s="815"/>
      <c r="U394" s="815"/>
      <c r="V394" s="815"/>
      <c r="W394" s="815"/>
      <c r="X394" s="815"/>
      <c r="Y394" s="816" t="s">
        <v>78</v>
      </c>
      <c r="Z394" s="816"/>
      <c r="AA394" s="816"/>
      <c r="AB394" s="816"/>
      <c r="AC394" s="816"/>
      <c r="AD394" s="816"/>
      <c r="AE394" s="816"/>
      <c r="AF394" s="483"/>
      <c r="AG394" s="817" t="s">
        <v>267</v>
      </c>
      <c r="AH394" s="818"/>
      <c r="AI394" s="818"/>
      <c r="AJ394" s="819"/>
      <c r="AK394" s="466">
        <f>SUM(AO386:AR393)</f>
        <v>68.95</v>
      </c>
      <c r="AL394" s="467"/>
      <c r="AM394" s="467"/>
      <c r="AN394" s="468"/>
      <c r="AO394" s="820">
        <f>ROUND(AG394*AK394,2)</f>
        <v>14.14</v>
      </c>
      <c r="AP394" s="821"/>
      <c r="AQ394" s="821"/>
      <c r="AR394" s="822"/>
    </row>
    <row r="395" spans="3:44" ht="18" customHeight="1">
      <c r="C395" s="743"/>
      <c r="D395" s="744"/>
      <c r="E395" s="744"/>
      <c r="F395" s="744"/>
      <c r="G395" s="744"/>
      <c r="H395" s="744"/>
      <c r="I395" s="744"/>
      <c r="J395" s="744"/>
      <c r="K395" s="744"/>
      <c r="L395" s="744"/>
      <c r="M395" s="744"/>
      <c r="N395" s="744"/>
      <c r="O395" s="744"/>
      <c r="P395" s="744"/>
      <c r="Q395" s="744"/>
      <c r="R395" s="744"/>
      <c r="S395" s="744"/>
      <c r="T395" s="744"/>
      <c r="U395" s="744"/>
      <c r="V395" s="744"/>
      <c r="W395" s="744"/>
      <c r="X395" s="744"/>
      <c r="Y395" s="745" t="s">
        <v>79</v>
      </c>
      <c r="Z395" s="745"/>
      <c r="AA395" s="745"/>
      <c r="AB395" s="745"/>
      <c r="AC395" s="745"/>
      <c r="AD395" s="745"/>
      <c r="AE395" s="745"/>
      <c r="AF395" s="745"/>
      <c r="AG395" s="745"/>
      <c r="AH395" s="745"/>
      <c r="AI395" s="745"/>
      <c r="AJ395" s="745"/>
      <c r="AK395" s="745"/>
      <c r="AL395" s="745"/>
      <c r="AM395" s="745"/>
      <c r="AN395" s="430"/>
      <c r="AO395" s="477">
        <f>SUM(AO386:AR394)</f>
        <v>83.09</v>
      </c>
      <c r="AP395" s="746"/>
      <c r="AQ395" s="746"/>
      <c r="AR395" s="747"/>
    </row>
    <row r="397" spans="3:44" ht="18" customHeight="1">
      <c r="C397" s="802"/>
      <c r="D397" s="803"/>
      <c r="E397" s="803"/>
      <c r="F397" s="803"/>
      <c r="G397" s="803"/>
      <c r="H397" s="803"/>
      <c r="I397" s="803"/>
      <c r="J397" s="803"/>
      <c r="K397" s="803"/>
      <c r="L397" s="803"/>
      <c r="M397" s="803"/>
      <c r="N397" s="803"/>
      <c r="O397" s="803"/>
      <c r="P397" s="803"/>
      <c r="Q397" s="803"/>
      <c r="R397" s="803"/>
      <c r="S397" s="803"/>
      <c r="T397" s="803"/>
      <c r="U397" s="803"/>
      <c r="V397" s="803"/>
      <c r="W397" s="803"/>
      <c r="X397" s="803"/>
      <c r="Y397" s="804" t="s">
        <v>80</v>
      </c>
      <c r="Z397" s="805"/>
      <c r="AA397" s="805"/>
      <c r="AB397" s="805"/>
      <c r="AC397" s="805"/>
      <c r="AD397" s="805"/>
      <c r="AE397" s="805"/>
      <c r="AF397" s="805"/>
      <c r="AG397" s="805"/>
      <c r="AH397" s="805"/>
      <c r="AI397" s="805"/>
      <c r="AJ397" s="805"/>
      <c r="AK397" s="805"/>
      <c r="AL397" s="805"/>
      <c r="AM397" s="805"/>
      <c r="AN397" s="806"/>
      <c r="AO397" s="807">
        <f>AO382+AO395</f>
        <v>83.09</v>
      </c>
      <c r="AP397" s="808"/>
      <c r="AQ397" s="808"/>
      <c r="AR397" s="809"/>
    </row>
    <row r="398" spans="3:44" ht="18" customHeight="1">
      <c r="C398" s="810" t="s">
        <v>81</v>
      </c>
      <c r="D398" s="745"/>
      <c r="E398" s="745"/>
      <c r="F398" s="745"/>
      <c r="G398" s="745"/>
      <c r="H398" s="745"/>
      <c r="I398" s="745"/>
      <c r="J398" s="745"/>
      <c r="K398" s="745"/>
      <c r="L398" s="745"/>
      <c r="M398" s="745"/>
      <c r="N398" s="745"/>
      <c r="O398" s="745"/>
      <c r="P398" s="430"/>
      <c r="Q398" s="477">
        <v>1</v>
      </c>
      <c r="R398" s="746"/>
      <c r="S398" s="746"/>
      <c r="T398" s="746"/>
      <c r="U398" s="746"/>
      <c r="V398" s="745" t="s">
        <v>194</v>
      </c>
      <c r="W398" s="745"/>
      <c r="X398" s="430"/>
      <c r="Y398" s="804" t="s">
        <v>82</v>
      </c>
      <c r="Z398" s="805"/>
      <c r="AA398" s="805"/>
      <c r="AB398" s="805"/>
      <c r="AC398" s="805"/>
      <c r="AD398" s="805"/>
      <c r="AE398" s="805"/>
      <c r="AF398" s="805"/>
      <c r="AG398" s="805"/>
      <c r="AH398" s="805"/>
      <c r="AI398" s="805"/>
      <c r="AJ398" s="805"/>
      <c r="AK398" s="805"/>
      <c r="AL398" s="805"/>
      <c r="AM398" s="805"/>
      <c r="AN398" s="806"/>
      <c r="AO398" s="811">
        <f>ROUND(AO397/Q398,2)</f>
        <v>83.09</v>
      </c>
      <c r="AP398" s="812"/>
      <c r="AQ398" s="812"/>
      <c r="AR398" s="813"/>
    </row>
    <row r="400" spans="3:44" ht="18" customHeight="1">
      <c r="C400" s="794" t="s">
        <v>43</v>
      </c>
      <c r="D400" s="774"/>
      <c r="E400" s="775"/>
      <c r="F400" s="773" t="s">
        <v>83</v>
      </c>
      <c r="G400" s="774"/>
      <c r="H400" s="774"/>
      <c r="I400" s="774"/>
      <c r="J400" s="774"/>
      <c r="K400" s="774"/>
      <c r="L400" s="774"/>
      <c r="M400" s="774"/>
      <c r="N400" s="774"/>
      <c r="O400" s="774"/>
      <c r="P400" s="774"/>
      <c r="Q400" s="774"/>
      <c r="R400" s="774"/>
      <c r="S400" s="774"/>
      <c r="T400" s="774"/>
      <c r="U400" s="774"/>
      <c r="V400" s="774"/>
      <c r="W400" s="774"/>
      <c r="X400" s="774"/>
      <c r="Y400" s="774"/>
      <c r="Z400" s="774"/>
      <c r="AA400" s="774"/>
      <c r="AB400" s="775"/>
      <c r="AC400" s="773" t="s">
        <v>84</v>
      </c>
      <c r="AD400" s="774"/>
      <c r="AE400" s="774"/>
      <c r="AF400" s="775"/>
      <c r="AG400" s="773" t="s">
        <v>85</v>
      </c>
      <c r="AH400" s="774"/>
      <c r="AI400" s="774"/>
      <c r="AJ400" s="775"/>
      <c r="AK400" s="773" t="s">
        <v>86</v>
      </c>
      <c r="AL400" s="774"/>
      <c r="AM400" s="774"/>
      <c r="AN400" s="775"/>
      <c r="AO400" s="773" t="s">
        <v>87</v>
      </c>
      <c r="AP400" s="774"/>
      <c r="AQ400" s="774"/>
      <c r="AR400" s="779"/>
    </row>
    <row r="401" spans="3:44" ht="18" customHeight="1">
      <c r="C401" s="795"/>
      <c r="D401" s="777"/>
      <c r="E401" s="778"/>
      <c r="F401" s="776"/>
      <c r="G401" s="777"/>
      <c r="H401" s="777"/>
      <c r="I401" s="777"/>
      <c r="J401" s="777"/>
      <c r="K401" s="777"/>
      <c r="L401" s="777"/>
      <c r="M401" s="777"/>
      <c r="N401" s="777"/>
      <c r="O401" s="777"/>
      <c r="P401" s="777"/>
      <c r="Q401" s="777"/>
      <c r="R401" s="777"/>
      <c r="S401" s="777"/>
      <c r="T401" s="777"/>
      <c r="U401" s="777"/>
      <c r="V401" s="777"/>
      <c r="W401" s="777"/>
      <c r="X401" s="777"/>
      <c r="Y401" s="777"/>
      <c r="Z401" s="777"/>
      <c r="AA401" s="777"/>
      <c r="AB401" s="778"/>
      <c r="AC401" s="776"/>
      <c r="AD401" s="777"/>
      <c r="AE401" s="777"/>
      <c r="AF401" s="778"/>
      <c r="AG401" s="776"/>
      <c r="AH401" s="777"/>
      <c r="AI401" s="777"/>
      <c r="AJ401" s="778"/>
      <c r="AK401" s="776"/>
      <c r="AL401" s="777"/>
      <c r="AM401" s="777"/>
      <c r="AN401" s="778"/>
      <c r="AO401" s="776"/>
      <c r="AP401" s="777"/>
      <c r="AQ401" s="777"/>
      <c r="AR401" s="780"/>
    </row>
    <row r="402" spans="3:44" ht="18" customHeight="1">
      <c r="C402" s="758" t="s">
        <v>857</v>
      </c>
      <c r="D402" s="759"/>
      <c r="E402" s="760"/>
      <c r="F402" s="796" t="s">
        <v>374</v>
      </c>
      <c r="G402" s="797"/>
      <c r="H402" s="797"/>
      <c r="I402" s="797"/>
      <c r="J402" s="797"/>
      <c r="K402" s="797"/>
      <c r="L402" s="797"/>
      <c r="M402" s="797"/>
      <c r="N402" s="797"/>
      <c r="O402" s="797"/>
      <c r="P402" s="797"/>
      <c r="Q402" s="797"/>
      <c r="R402" s="797"/>
      <c r="S402" s="797"/>
      <c r="T402" s="797"/>
      <c r="U402" s="797"/>
      <c r="V402" s="797"/>
      <c r="W402" s="797"/>
      <c r="X402" s="797"/>
      <c r="Y402" s="797"/>
      <c r="Z402" s="797"/>
      <c r="AA402" s="797"/>
      <c r="AB402" s="798"/>
      <c r="AC402" s="799" t="s">
        <v>245</v>
      </c>
      <c r="AD402" s="800"/>
      <c r="AE402" s="800"/>
      <c r="AF402" s="801"/>
      <c r="AG402" s="466">
        <f>TRUNC(301.73/1.2031,2)</f>
        <v>250.79</v>
      </c>
      <c r="AH402" s="467"/>
      <c r="AI402" s="467"/>
      <c r="AJ402" s="468"/>
      <c r="AK402" s="737">
        <v>0.104</v>
      </c>
      <c r="AL402" s="738"/>
      <c r="AM402" s="738"/>
      <c r="AN402" s="739"/>
      <c r="AO402" s="740">
        <f>ROUND(AG402*AK402,2)</f>
        <v>26.08</v>
      </c>
      <c r="AP402" s="741"/>
      <c r="AQ402" s="741"/>
      <c r="AR402" s="742"/>
    </row>
    <row r="403" spans="3:44" ht="18" customHeight="1">
      <c r="C403" s="758" t="s">
        <v>1377</v>
      </c>
      <c r="D403" s="759"/>
      <c r="E403" s="760"/>
      <c r="F403" s="796" t="s">
        <v>417</v>
      </c>
      <c r="G403" s="797"/>
      <c r="H403" s="797"/>
      <c r="I403" s="797"/>
      <c r="J403" s="797"/>
      <c r="K403" s="797"/>
      <c r="L403" s="797"/>
      <c r="M403" s="797"/>
      <c r="N403" s="797"/>
      <c r="O403" s="797"/>
      <c r="P403" s="797"/>
      <c r="Q403" s="797"/>
      <c r="R403" s="797"/>
      <c r="S403" s="797"/>
      <c r="T403" s="797"/>
      <c r="U403" s="797"/>
      <c r="V403" s="797"/>
      <c r="W403" s="797"/>
      <c r="X403" s="797"/>
      <c r="Y403" s="797"/>
      <c r="Z403" s="797"/>
      <c r="AA403" s="797"/>
      <c r="AB403" s="798"/>
      <c r="AC403" s="799" t="s">
        <v>245</v>
      </c>
      <c r="AD403" s="800"/>
      <c r="AE403" s="800"/>
      <c r="AF403" s="801"/>
      <c r="AG403" s="466">
        <f>TRUNC(373.21/1.2031,2)</f>
        <v>310.2</v>
      </c>
      <c r="AH403" s="467"/>
      <c r="AI403" s="467"/>
      <c r="AJ403" s="468"/>
      <c r="AK403" s="737">
        <v>2.214</v>
      </c>
      <c r="AL403" s="738"/>
      <c r="AM403" s="738"/>
      <c r="AN403" s="739"/>
      <c r="AO403" s="740">
        <f>ROUND(AG403*AK403,2)</f>
        <v>686.78</v>
      </c>
      <c r="AP403" s="741"/>
      <c r="AQ403" s="741"/>
      <c r="AR403" s="742"/>
    </row>
    <row r="404" spans="3:44" ht="18" customHeight="1">
      <c r="C404" s="758" t="s">
        <v>1376</v>
      </c>
      <c r="D404" s="759"/>
      <c r="E404" s="760"/>
      <c r="F404" s="796" t="s">
        <v>370</v>
      </c>
      <c r="G404" s="797"/>
      <c r="H404" s="797"/>
      <c r="I404" s="797"/>
      <c r="J404" s="797"/>
      <c r="K404" s="797"/>
      <c r="L404" s="797"/>
      <c r="M404" s="797"/>
      <c r="N404" s="797"/>
      <c r="O404" s="797"/>
      <c r="P404" s="797"/>
      <c r="Q404" s="797"/>
      <c r="R404" s="797"/>
      <c r="S404" s="797"/>
      <c r="T404" s="797"/>
      <c r="U404" s="797"/>
      <c r="V404" s="797"/>
      <c r="W404" s="797"/>
      <c r="X404" s="797"/>
      <c r="Y404" s="797"/>
      <c r="Z404" s="797"/>
      <c r="AA404" s="797"/>
      <c r="AB404" s="798"/>
      <c r="AC404" s="799" t="s">
        <v>309</v>
      </c>
      <c r="AD404" s="800"/>
      <c r="AE404" s="800"/>
      <c r="AF404" s="801"/>
      <c r="AG404" s="466">
        <f>TRUNC(43.8/1.2031,2)</f>
        <v>36.4</v>
      </c>
      <c r="AH404" s="467"/>
      <c r="AI404" s="467"/>
      <c r="AJ404" s="468"/>
      <c r="AK404" s="737">
        <v>23.16</v>
      </c>
      <c r="AL404" s="738"/>
      <c r="AM404" s="738"/>
      <c r="AN404" s="739"/>
      <c r="AO404" s="740">
        <f>ROUND(AG404*AK404,2)</f>
        <v>843.02</v>
      </c>
      <c r="AP404" s="741"/>
      <c r="AQ404" s="741"/>
      <c r="AR404" s="742"/>
    </row>
    <row r="405" spans="3:44" ht="18" customHeight="1">
      <c r="C405" s="758" t="s">
        <v>860</v>
      </c>
      <c r="D405" s="759"/>
      <c r="E405" s="760"/>
      <c r="F405" s="796" t="s">
        <v>418</v>
      </c>
      <c r="G405" s="797"/>
      <c r="H405" s="797"/>
      <c r="I405" s="797"/>
      <c r="J405" s="797"/>
      <c r="K405" s="797"/>
      <c r="L405" s="797"/>
      <c r="M405" s="797"/>
      <c r="N405" s="797"/>
      <c r="O405" s="797"/>
      <c r="P405" s="797"/>
      <c r="Q405" s="797"/>
      <c r="R405" s="797"/>
      <c r="S405" s="797"/>
      <c r="T405" s="797"/>
      <c r="U405" s="797"/>
      <c r="V405" s="797"/>
      <c r="W405" s="797"/>
      <c r="X405" s="797"/>
      <c r="Y405" s="797"/>
      <c r="Z405" s="797"/>
      <c r="AA405" s="797"/>
      <c r="AB405" s="798"/>
      <c r="AC405" s="799" t="s">
        <v>194</v>
      </c>
      <c r="AD405" s="800"/>
      <c r="AE405" s="800"/>
      <c r="AF405" s="801"/>
      <c r="AG405" s="466">
        <f>TRUNC(175.93/1.2031,2)</f>
        <v>146.22999999999999</v>
      </c>
      <c r="AH405" s="467"/>
      <c r="AI405" s="467"/>
      <c r="AJ405" s="468"/>
      <c r="AK405" s="737">
        <v>2</v>
      </c>
      <c r="AL405" s="738"/>
      <c r="AM405" s="738"/>
      <c r="AN405" s="739"/>
      <c r="AO405" s="740">
        <f>ROUND(AG405*AK405,2)</f>
        <v>292.45999999999998</v>
      </c>
      <c r="AP405" s="741"/>
      <c r="AQ405" s="741"/>
      <c r="AR405" s="742"/>
    </row>
    <row r="406" spans="3:44" ht="18" customHeight="1">
      <c r="C406" s="758"/>
      <c r="D406" s="759"/>
      <c r="E406" s="760"/>
      <c r="F406" s="796"/>
      <c r="G406" s="797"/>
      <c r="H406" s="797"/>
      <c r="I406" s="797"/>
      <c r="J406" s="797"/>
      <c r="K406" s="797"/>
      <c r="L406" s="797"/>
      <c r="M406" s="797"/>
      <c r="N406" s="797"/>
      <c r="O406" s="797"/>
      <c r="P406" s="797"/>
      <c r="Q406" s="797"/>
      <c r="R406" s="797"/>
      <c r="S406" s="797"/>
      <c r="T406" s="797"/>
      <c r="U406" s="797"/>
      <c r="V406" s="797"/>
      <c r="W406" s="797"/>
      <c r="X406" s="797"/>
      <c r="Y406" s="797"/>
      <c r="Z406" s="797"/>
      <c r="AA406" s="797"/>
      <c r="AB406" s="798"/>
      <c r="AC406" s="799"/>
      <c r="AD406" s="800"/>
      <c r="AE406" s="800"/>
      <c r="AF406" s="801"/>
      <c r="AG406" s="466"/>
      <c r="AH406" s="467"/>
      <c r="AI406" s="467"/>
      <c r="AJ406" s="468"/>
      <c r="AK406" s="737"/>
      <c r="AL406" s="738"/>
      <c r="AM406" s="738"/>
      <c r="AN406" s="739"/>
      <c r="AO406" s="740"/>
      <c r="AP406" s="741"/>
      <c r="AQ406" s="741"/>
      <c r="AR406" s="742"/>
    </row>
    <row r="407" spans="3:44" ht="18" customHeight="1">
      <c r="C407" s="758"/>
      <c r="D407" s="759"/>
      <c r="E407" s="760"/>
      <c r="F407" s="796"/>
      <c r="G407" s="797"/>
      <c r="H407" s="797"/>
      <c r="I407" s="797"/>
      <c r="J407" s="797"/>
      <c r="K407" s="797"/>
      <c r="L407" s="797"/>
      <c r="M407" s="797"/>
      <c r="N407" s="797"/>
      <c r="O407" s="797"/>
      <c r="P407" s="797"/>
      <c r="Q407" s="797"/>
      <c r="R407" s="797"/>
      <c r="S407" s="797"/>
      <c r="T407" s="797"/>
      <c r="U407" s="797"/>
      <c r="V407" s="797"/>
      <c r="W407" s="797"/>
      <c r="X407" s="797"/>
      <c r="Y407" s="797"/>
      <c r="Z407" s="797"/>
      <c r="AA407" s="797"/>
      <c r="AB407" s="798"/>
      <c r="AC407" s="799"/>
      <c r="AD407" s="800"/>
      <c r="AE407" s="800"/>
      <c r="AF407" s="801"/>
      <c r="AG407" s="466"/>
      <c r="AH407" s="467"/>
      <c r="AI407" s="467"/>
      <c r="AJ407" s="468"/>
      <c r="AK407" s="737"/>
      <c r="AL407" s="738"/>
      <c r="AM407" s="738"/>
      <c r="AN407" s="739"/>
      <c r="AO407" s="740"/>
      <c r="AP407" s="741"/>
      <c r="AQ407" s="741"/>
      <c r="AR407" s="742"/>
    </row>
    <row r="408" spans="3:44" ht="18" customHeight="1">
      <c r="C408" s="758"/>
      <c r="D408" s="759"/>
      <c r="E408" s="760"/>
      <c r="F408" s="796"/>
      <c r="G408" s="797"/>
      <c r="H408" s="797"/>
      <c r="I408" s="797"/>
      <c r="J408" s="797"/>
      <c r="K408" s="797"/>
      <c r="L408" s="797"/>
      <c r="M408" s="797"/>
      <c r="N408" s="797"/>
      <c r="O408" s="797"/>
      <c r="P408" s="797"/>
      <c r="Q408" s="797"/>
      <c r="R408" s="797"/>
      <c r="S408" s="797"/>
      <c r="T408" s="797"/>
      <c r="U408" s="797"/>
      <c r="V408" s="797"/>
      <c r="W408" s="797"/>
      <c r="X408" s="797"/>
      <c r="Y408" s="797"/>
      <c r="Z408" s="797"/>
      <c r="AA408" s="797"/>
      <c r="AB408" s="798"/>
      <c r="AC408" s="799"/>
      <c r="AD408" s="800"/>
      <c r="AE408" s="800"/>
      <c r="AF408" s="801"/>
      <c r="AG408" s="466"/>
      <c r="AH408" s="467"/>
      <c r="AI408" s="467"/>
      <c r="AJ408" s="468"/>
      <c r="AK408" s="737"/>
      <c r="AL408" s="738"/>
      <c r="AM408" s="738"/>
      <c r="AN408" s="739"/>
      <c r="AO408" s="740"/>
      <c r="AP408" s="741"/>
      <c r="AQ408" s="741"/>
      <c r="AR408" s="742"/>
    </row>
    <row r="409" spans="3:44" ht="18" customHeight="1">
      <c r="C409" s="758"/>
      <c r="D409" s="759"/>
      <c r="E409" s="760"/>
      <c r="F409" s="796"/>
      <c r="G409" s="797"/>
      <c r="H409" s="797"/>
      <c r="I409" s="797"/>
      <c r="J409" s="797"/>
      <c r="K409" s="797"/>
      <c r="L409" s="797"/>
      <c r="M409" s="797"/>
      <c r="N409" s="797"/>
      <c r="O409" s="797"/>
      <c r="P409" s="797"/>
      <c r="Q409" s="797"/>
      <c r="R409" s="797"/>
      <c r="S409" s="797"/>
      <c r="T409" s="797"/>
      <c r="U409" s="797"/>
      <c r="V409" s="797"/>
      <c r="W409" s="797"/>
      <c r="X409" s="797"/>
      <c r="Y409" s="797"/>
      <c r="Z409" s="797"/>
      <c r="AA409" s="797"/>
      <c r="AB409" s="798"/>
      <c r="AC409" s="799"/>
      <c r="AD409" s="800"/>
      <c r="AE409" s="800"/>
      <c r="AF409" s="801"/>
      <c r="AG409" s="466"/>
      <c r="AH409" s="467"/>
      <c r="AI409" s="467"/>
      <c r="AJ409" s="468"/>
      <c r="AK409" s="737"/>
      <c r="AL409" s="738"/>
      <c r="AM409" s="738"/>
      <c r="AN409" s="739"/>
      <c r="AO409" s="740"/>
      <c r="AP409" s="741"/>
      <c r="AQ409" s="741"/>
      <c r="AR409" s="742"/>
    </row>
    <row r="410" spans="3:44" ht="18" customHeight="1">
      <c r="C410" s="743"/>
      <c r="D410" s="744"/>
      <c r="E410" s="744"/>
      <c r="F410" s="744"/>
      <c r="G410" s="744"/>
      <c r="H410" s="744"/>
      <c r="I410" s="744"/>
      <c r="J410" s="744"/>
      <c r="K410" s="744"/>
      <c r="L410" s="744"/>
      <c r="M410" s="744"/>
      <c r="N410" s="744"/>
      <c r="O410" s="744"/>
      <c r="P410" s="744"/>
      <c r="Q410" s="744"/>
      <c r="R410" s="744"/>
      <c r="S410" s="744"/>
      <c r="T410" s="744"/>
      <c r="U410" s="744"/>
      <c r="V410" s="744"/>
      <c r="W410" s="744"/>
      <c r="X410" s="744"/>
      <c r="Y410" s="745" t="s">
        <v>88</v>
      </c>
      <c r="Z410" s="745"/>
      <c r="AA410" s="745"/>
      <c r="AB410" s="745"/>
      <c r="AC410" s="745"/>
      <c r="AD410" s="745"/>
      <c r="AE410" s="745"/>
      <c r="AF410" s="745"/>
      <c r="AG410" s="745"/>
      <c r="AH410" s="745"/>
      <c r="AI410" s="745"/>
      <c r="AJ410" s="745"/>
      <c r="AK410" s="745"/>
      <c r="AL410" s="745"/>
      <c r="AM410" s="745"/>
      <c r="AN410" s="430"/>
      <c r="AO410" s="477">
        <f>SUM(AO402:AR409)</f>
        <v>1848.3400000000001</v>
      </c>
      <c r="AP410" s="746"/>
      <c r="AQ410" s="746"/>
      <c r="AR410" s="747"/>
    </row>
    <row r="412" spans="3:44" ht="18" customHeight="1">
      <c r="C412" s="794" t="s">
        <v>43</v>
      </c>
      <c r="D412" s="774"/>
      <c r="E412" s="775"/>
      <c r="F412" s="773" t="s">
        <v>89</v>
      </c>
      <c r="G412" s="774"/>
      <c r="H412" s="774"/>
      <c r="I412" s="774"/>
      <c r="J412" s="774"/>
      <c r="K412" s="774"/>
      <c r="L412" s="774"/>
      <c r="M412" s="774"/>
      <c r="N412" s="774"/>
      <c r="O412" s="774"/>
      <c r="P412" s="774"/>
      <c r="Q412" s="774"/>
      <c r="R412" s="775"/>
      <c r="S412" s="773" t="s">
        <v>90</v>
      </c>
      <c r="T412" s="774"/>
      <c r="U412" s="775"/>
      <c r="V412" s="773" t="s">
        <v>91</v>
      </c>
      <c r="W412" s="774"/>
      <c r="X412" s="775"/>
      <c r="Y412" s="773" t="s">
        <v>92</v>
      </c>
      <c r="Z412" s="774"/>
      <c r="AA412" s="774"/>
      <c r="AB412" s="774"/>
      <c r="AC412" s="774"/>
      <c r="AD412" s="775"/>
      <c r="AE412" s="773" t="s">
        <v>93</v>
      </c>
      <c r="AF412" s="774"/>
      <c r="AG412" s="775"/>
      <c r="AH412" s="773" t="s">
        <v>94</v>
      </c>
      <c r="AI412" s="774"/>
      <c r="AJ412" s="775"/>
      <c r="AK412" s="773" t="s">
        <v>86</v>
      </c>
      <c r="AL412" s="774"/>
      <c r="AM412" s="774"/>
      <c r="AN412" s="775"/>
      <c r="AO412" s="773" t="s">
        <v>87</v>
      </c>
      <c r="AP412" s="774"/>
      <c r="AQ412" s="774"/>
      <c r="AR412" s="779"/>
    </row>
    <row r="413" spans="3:44" ht="18" customHeight="1">
      <c r="C413" s="795"/>
      <c r="D413" s="777"/>
      <c r="E413" s="778"/>
      <c r="F413" s="776"/>
      <c r="G413" s="777"/>
      <c r="H413" s="777"/>
      <c r="I413" s="777"/>
      <c r="J413" s="777"/>
      <c r="K413" s="777"/>
      <c r="L413" s="777"/>
      <c r="M413" s="777"/>
      <c r="N413" s="777"/>
      <c r="O413" s="777"/>
      <c r="P413" s="777"/>
      <c r="Q413" s="777"/>
      <c r="R413" s="778"/>
      <c r="S413" s="776"/>
      <c r="T413" s="777"/>
      <c r="U413" s="778"/>
      <c r="V413" s="776"/>
      <c r="W413" s="777"/>
      <c r="X413" s="778"/>
      <c r="Y413" s="776"/>
      <c r="Z413" s="777"/>
      <c r="AA413" s="777"/>
      <c r="AB413" s="777"/>
      <c r="AC413" s="777"/>
      <c r="AD413" s="778"/>
      <c r="AE413" s="776"/>
      <c r="AF413" s="777"/>
      <c r="AG413" s="778"/>
      <c r="AH413" s="776"/>
      <c r="AI413" s="777"/>
      <c r="AJ413" s="778"/>
      <c r="AK413" s="776"/>
      <c r="AL413" s="777"/>
      <c r="AM413" s="777"/>
      <c r="AN413" s="778"/>
      <c r="AO413" s="776"/>
      <c r="AP413" s="777"/>
      <c r="AQ413" s="777"/>
      <c r="AR413" s="780"/>
    </row>
    <row r="414" spans="3:44" ht="18" customHeight="1">
      <c r="C414" s="781"/>
      <c r="D414" s="782"/>
      <c r="E414" s="783"/>
      <c r="F414" s="457"/>
      <c r="G414" s="457"/>
      <c r="H414" s="457"/>
      <c r="I414" s="457"/>
      <c r="J414" s="457"/>
      <c r="K414" s="457"/>
      <c r="L414" s="457"/>
      <c r="M414" s="457"/>
      <c r="N414" s="457"/>
      <c r="O414" s="457"/>
      <c r="P414" s="457"/>
      <c r="Q414" s="457"/>
      <c r="R414" s="457"/>
      <c r="S414" s="784"/>
      <c r="T414" s="785"/>
      <c r="U414" s="786"/>
      <c r="V414" s="784"/>
      <c r="W414" s="785"/>
      <c r="X414" s="786"/>
      <c r="Y414" s="787"/>
      <c r="Z414" s="788"/>
      <c r="AA414" s="788"/>
      <c r="AB414" s="788"/>
      <c r="AC414" s="788"/>
      <c r="AD414" s="789"/>
      <c r="AE414" s="449"/>
      <c r="AF414" s="449"/>
      <c r="AG414" s="449"/>
      <c r="AH414" s="770"/>
      <c r="AI414" s="771"/>
      <c r="AJ414" s="790"/>
      <c r="AK414" s="791"/>
      <c r="AL414" s="792"/>
      <c r="AM414" s="792"/>
      <c r="AN414" s="793"/>
      <c r="AO414" s="770"/>
      <c r="AP414" s="771"/>
      <c r="AQ414" s="771"/>
      <c r="AR414" s="772"/>
    </row>
    <row r="415" spans="3:44" ht="18" customHeight="1">
      <c r="C415" s="758"/>
      <c r="D415" s="759"/>
      <c r="E415" s="760"/>
      <c r="F415" s="761"/>
      <c r="G415" s="762"/>
      <c r="H415" s="762"/>
      <c r="I415" s="762"/>
      <c r="J415" s="762"/>
      <c r="K415" s="762"/>
      <c r="L415" s="762"/>
      <c r="M415" s="762"/>
      <c r="N415" s="762"/>
      <c r="O415" s="762"/>
      <c r="P415" s="762"/>
      <c r="Q415" s="762"/>
      <c r="R415" s="763"/>
      <c r="S415" s="764"/>
      <c r="T415" s="765"/>
      <c r="U415" s="766"/>
      <c r="V415" s="764"/>
      <c r="W415" s="765"/>
      <c r="X415" s="766"/>
      <c r="Y415" s="767"/>
      <c r="Z415" s="768"/>
      <c r="AA415" s="768"/>
      <c r="AB415" s="768"/>
      <c r="AC415" s="768"/>
      <c r="AD415" s="769"/>
      <c r="AE415" s="740"/>
      <c r="AF415" s="741"/>
      <c r="AG415" s="757"/>
      <c r="AH415" s="740"/>
      <c r="AI415" s="741"/>
      <c r="AJ415" s="757"/>
      <c r="AK415" s="737"/>
      <c r="AL415" s="738"/>
      <c r="AM415" s="738"/>
      <c r="AN415" s="739"/>
      <c r="AO415" s="740">
        <f t="shared" ref="AO415:AO421" si="6">ROUND(AE415*AH415*AK415,2)</f>
        <v>0</v>
      </c>
      <c r="AP415" s="741"/>
      <c r="AQ415" s="741"/>
      <c r="AR415" s="742"/>
    </row>
    <row r="416" spans="3:44" ht="18" customHeight="1">
      <c r="C416" s="758"/>
      <c r="D416" s="759"/>
      <c r="E416" s="760"/>
      <c r="F416" s="761"/>
      <c r="G416" s="762"/>
      <c r="H416" s="762"/>
      <c r="I416" s="762"/>
      <c r="J416" s="762"/>
      <c r="K416" s="762"/>
      <c r="L416" s="762"/>
      <c r="M416" s="762"/>
      <c r="N416" s="762"/>
      <c r="O416" s="762"/>
      <c r="P416" s="762"/>
      <c r="Q416" s="762"/>
      <c r="R416" s="763"/>
      <c r="S416" s="764"/>
      <c r="T416" s="765"/>
      <c r="U416" s="766"/>
      <c r="V416" s="764"/>
      <c r="W416" s="765"/>
      <c r="X416" s="766"/>
      <c r="Y416" s="767"/>
      <c r="Z416" s="768"/>
      <c r="AA416" s="768"/>
      <c r="AB416" s="768"/>
      <c r="AC416" s="768"/>
      <c r="AD416" s="769"/>
      <c r="AE416" s="740"/>
      <c r="AF416" s="741"/>
      <c r="AG416" s="757"/>
      <c r="AH416" s="740"/>
      <c r="AI416" s="741"/>
      <c r="AJ416" s="757"/>
      <c r="AK416" s="737"/>
      <c r="AL416" s="738"/>
      <c r="AM416" s="738"/>
      <c r="AN416" s="739"/>
      <c r="AO416" s="740">
        <f t="shared" si="6"/>
        <v>0</v>
      </c>
      <c r="AP416" s="741"/>
      <c r="AQ416" s="741"/>
      <c r="AR416" s="742"/>
    </row>
    <row r="417" spans="1:44" ht="18" customHeight="1">
      <c r="C417" s="758"/>
      <c r="D417" s="759"/>
      <c r="E417" s="760"/>
      <c r="F417" s="761"/>
      <c r="G417" s="762"/>
      <c r="H417" s="762"/>
      <c r="I417" s="762"/>
      <c r="J417" s="762"/>
      <c r="K417" s="762"/>
      <c r="L417" s="762"/>
      <c r="M417" s="762"/>
      <c r="N417" s="762"/>
      <c r="O417" s="762"/>
      <c r="P417" s="762"/>
      <c r="Q417" s="762"/>
      <c r="R417" s="763"/>
      <c r="S417" s="764"/>
      <c r="T417" s="765"/>
      <c r="U417" s="766"/>
      <c r="V417" s="764"/>
      <c r="W417" s="765"/>
      <c r="X417" s="766"/>
      <c r="Y417" s="767"/>
      <c r="Z417" s="768"/>
      <c r="AA417" s="768"/>
      <c r="AB417" s="768"/>
      <c r="AC417" s="768"/>
      <c r="AD417" s="769"/>
      <c r="AE417" s="740"/>
      <c r="AF417" s="741"/>
      <c r="AG417" s="757"/>
      <c r="AH417" s="740"/>
      <c r="AI417" s="741"/>
      <c r="AJ417" s="757"/>
      <c r="AK417" s="737"/>
      <c r="AL417" s="738"/>
      <c r="AM417" s="738"/>
      <c r="AN417" s="739"/>
      <c r="AO417" s="740">
        <f t="shared" si="6"/>
        <v>0</v>
      </c>
      <c r="AP417" s="741"/>
      <c r="AQ417" s="741"/>
      <c r="AR417" s="742"/>
    </row>
    <row r="418" spans="1:44" ht="18" customHeight="1">
      <c r="C418" s="758"/>
      <c r="D418" s="759"/>
      <c r="E418" s="760"/>
      <c r="F418" s="761"/>
      <c r="G418" s="762"/>
      <c r="H418" s="762"/>
      <c r="I418" s="762"/>
      <c r="J418" s="762"/>
      <c r="K418" s="762"/>
      <c r="L418" s="762"/>
      <c r="M418" s="762"/>
      <c r="N418" s="762"/>
      <c r="O418" s="762"/>
      <c r="P418" s="762"/>
      <c r="Q418" s="762"/>
      <c r="R418" s="763"/>
      <c r="S418" s="764"/>
      <c r="T418" s="765"/>
      <c r="U418" s="766"/>
      <c r="V418" s="764"/>
      <c r="W418" s="765"/>
      <c r="X418" s="766"/>
      <c r="Y418" s="767"/>
      <c r="Z418" s="768"/>
      <c r="AA418" s="768"/>
      <c r="AB418" s="768"/>
      <c r="AC418" s="768"/>
      <c r="AD418" s="769"/>
      <c r="AE418" s="740"/>
      <c r="AF418" s="741"/>
      <c r="AG418" s="757"/>
      <c r="AH418" s="740"/>
      <c r="AI418" s="741"/>
      <c r="AJ418" s="757"/>
      <c r="AK418" s="737"/>
      <c r="AL418" s="738"/>
      <c r="AM418" s="738"/>
      <c r="AN418" s="739"/>
      <c r="AO418" s="740">
        <f t="shared" si="6"/>
        <v>0</v>
      </c>
      <c r="AP418" s="741"/>
      <c r="AQ418" s="741"/>
      <c r="AR418" s="742"/>
    </row>
    <row r="419" spans="1:44" ht="18" customHeight="1">
      <c r="C419" s="758"/>
      <c r="D419" s="759"/>
      <c r="E419" s="760"/>
      <c r="F419" s="761"/>
      <c r="G419" s="762"/>
      <c r="H419" s="762"/>
      <c r="I419" s="762"/>
      <c r="J419" s="762"/>
      <c r="K419" s="762"/>
      <c r="L419" s="762"/>
      <c r="M419" s="762"/>
      <c r="N419" s="762"/>
      <c r="O419" s="762"/>
      <c r="P419" s="762"/>
      <c r="Q419" s="762"/>
      <c r="R419" s="763"/>
      <c r="S419" s="764"/>
      <c r="T419" s="765"/>
      <c r="U419" s="766"/>
      <c r="V419" s="764"/>
      <c r="W419" s="765"/>
      <c r="X419" s="766"/>
      <c r="Y419" s="767"/>
      <c r="Z419" s="768"/>
      <c r="AA419" s="768"/>
      <c r="AB419" s="768"/>
      <c r="AC419" s="768"/>
      <c r="AD419" s="769"/>
      <c r="AE419" s="740"/>
      <c r="AF419" s="741"/>
      <c r="AG419" s="757"/>
      <c r="AH419" s="740"/>
      <c r="AI419" s="741"/>
      <c r="AJ419" s="757"/>
      <c r="AK419" s="737"/>
      <c r="AL419" s="738"/>
      <c r="AM419" s="738"/>
      <c r="AN419" s="739"/>
      <c r="AO419" s="740">
        <f t="shared" si="6"/>
        <v>0</v>
      </c>
      <c r="AP419" s="741"/>
      <c r="AQ419" s="741"/>
      <c r="AR419" s="742"/>
    </row>
    <row r="420" spans="1:44" ht="18" customHeight="1">
      <c r="C420" s="758"/>
      <c r="D420" s="759"/>
      <c r="E420" s="760"/>
      <c r="F420" s="761"/>
      <c r="G420" s="762"/>
      <c r="H420" s="762"/>
      <c r="I420" s="762"/>
      <c r="J420" s="762"/>
      <c r="K420" s="762"/>
      <c r="L420" s="762"/>
      <c r="M420" s="762"/>
      <c r="N420" s="762"/>
      <c r="O420" s="762"/>
      <c r="P420" s="762"/>
      <c r="Q420" s="762"/>
      <c r="R420" s="763"/>
      <c r="S420" s="764"/>
      <c r="T420" s="765"/>
      <c r="U420" s="766"/>
      <c r="V420" s="764"/>
      <c r="W420" s="765"/>
      <c r="X420" s="766"/>
      <c r="Y420" s="767"/>
      <c r="Z420" s="768"/>
      <c r="AA420" s="768"/>
      <c r="AB420" s="768"/>
      <c r="AC420" s="768"/>
      <c r="AD420" s="769"/>
      <c r="AE420" s="740"/>
      <c r="AF420" s="741"/>
      <c r="AG420" s="757"/>
      <c r="AH420" s="740"/>
      <c r="AI420" s="741"/>
      <c r="AJ420" s="757"/>
      <c r="AK420" s="737"/>
      <c r="AL420" s="738"/>
      <c r="AM420" s="738"/>
      <c r="AN420" s="739"/>
      <c r="AO420" s="740">
        <f t="shared" si="6"/>
        <v>0</v>
      </c>
      <c r="AP420" s="741"/>
      <c r="AQ420" s="741"/>
      <c r="AR420" s="742"/>
    </row>
    <row r="421" spans="1:44" ht="18" customHeight="1">
      <c r="C421" s="758"/>
      <c r="D421" s="759"/>
      <c r="E421" s="760"/>
      <c r="F421" s="761"/>
      <c r="G421" s="762"/>
      <c r="H421" s="762"/>
      <c r="I421" s="762"/>
      <c r="J421" s="762"/>
      <c r="K421" s="762"/>
      <c r="L421" s="762"/>
      <c r="M421" s="762"/>
      <c r="N421" s="762"/>
      <c r="O421" s="762"/>
      <c r="P421" s="762"/>
      <c r="Q421" s="762"/>
      <c r="R421" s="763"/>
      <c r="S421" s="764"/>
      <c r="T421" s="765"/>
      <c r="U421" s="766"/>
      <c r="V421" s="764"/>
      <c r="W421" s="765"/>
      <c r="X421" s="766"/>
      <c r="Y421" s="767"/>
      <c r="Z421" s="768"/>
      <c r="AA421" s="768"/>
      <c r="AB421" s="768"/>
      <c r="AC421" s="768"/>
      <c r="AD421" s="769"/>
      <c r="AE421" s="740"/>
      <c r="AF421" s="741"/>
      <c r="AG421" s="757"/>
      <c r="AH421" s="740"/>
      <c r="AI421" s="741"/>
      <c r="AJ421" s="757"/>
      <c r="AK421" s="737"/>
      <c r="AL421" s="738"/>
      <c r="AM421" s="738"/>
      <c r="AN421" s="739"/>
      <c r="AO421" s="740">
        <f t="shared" si="6"/>
        <v>0</v>
      </c>
      <c r="AP421" s="741"/>
      <c r="AQ421" s="741"/>
      <c r="AR421" s="742"/>
    </row>
    <row r="422" spans="1:44" ht="18" customHeight="1">
      <c r="C422" s="743"/>
      <c r="D422" s="744"/>
      <c r="E422" s="744"/>
      <c r="F422" s="744"/>
      <c r="G422" s="744"/>
      <c r="H422" s="744"/>
      <c r="I422" s="744"/>
      <c r="J422" s="744"/>
      <c r="K422" s="744"/>
      <c r="L422" s="744"/>
      <c r="M422" s="744"/>
      <c r="N422" s="744"/>
      <c r="O422" s="744"/>
      <c r="P422" s="744"/>
      <c r="Q422" s="744"/>
      <c r="R422" s="744"/>
      <c r="S422" s="744"/>
      <c r="T422" s="744"/>
      <c r="U422" s="744"/>
      <c r="V422" s="744"/>
      <c r="W422" s="744"/>
      <c r="X422" s="744"/>
      <c r="Y422" s="745" t="s">
        <v>95</v>
      </c>
      <c r="Z422" s="745"/>
      <c r="AA422" s="745"/>
      <c r="AB422" s="745"/>
      <c r="AC422" s="745"/>
      <c r="AD422" s="745"/>
      <c r="AE422" s="745"/>
      <c r="AF422" s="745"/>
      <c r="AG422" s="745"/>
      <c r="AH422" s="745"/>
      <c r="AI422" s="745"/>
      <c r="AJ422" s="745"/>
      <c r="AK422" s="745"/>
      <c r="AL422" s="745"/>
      <c r="AM422" s="745"/>
      <c r="AN422" s="430"/>
      <c r="AO422" s="477">
        <f>SUM(AO414:AR421)</f>
        <v>0</v>
      </c>
      <c r="AP422" s="746"/>
      <c r="AQ422" s="746"/>
      <c r="AR422" s="747"/>
    </row>
    <row r="424" spans="1:44" ht="18" customHeight="1">
      <c r="C424" s="434"/>
      <c r="D424" s="434"/>
      <c r="E424" s="434"/>
      <c r="F424" s="434"/>
      <c r="G424" s="434"/>
      <c r="H424" s="434"/>
      <c r="I424" s="434"/>
      <c r="J424" s="434"/>
      <c r="K424" s="434"/>
      <c r="L424" s="434"/>
      <c r="M424" s="434"/>
      <c r="N424" s="434"/>
      <c r="O424" s="434"/>
      <c r="P424" s="434"/>
      <c r="Q424" s="434"/>
      <c r="R424" s="434"/>
      <c r="S424" s="434"/>
      <c r="T424" s="434"/>
      <c r="U424" s="434"/>
      <c r="V424" s="434"/>
      <c r="W424" s="434"/>
      <c r="X424" s="748"/>
      <c r="Y424" s="749" t="s">
        <v>96</v>
      </c>
      <c r="Z424" s="750"/>
      <c r="AA424" s="750"/>
      <c r="AB424" s="750"/>
      <c r="AC424" s="750"/>
      <c r="AD424" s="750"/>
      <c r="AE424" s="750"/>
      <c r="AF424" s="750"/>
      <c r="AG424" s="750"/>
      <c r="AH424" s="750"/>
      <c r="AI424" s="750"/>
      <c r="AJ424" s="750"/>
      <c r="AK424" s="750"/>
      <c r="AL424" s="750"/>
      <c r="AM424" s="750"/>
      <c r="AN424" s="751"/>
      <c r="AO424" s="752">
        <f>AO398+AO410+AO422</f>
        <v>1931.43</v>
      </c>
      <c r="AP424" s="753"/>
      <c r="AQ424" s="753"/>
      <c r="AR424" s="754"/>
    </row>
    <row r="425" spans="1:44" ht="18" customHeight="1">
      <c r="C425" s="434"/>
      <c r="D425" s="434"/>
      <c r="E425" s="434"/>
      <c r="F425" s="434"/>
      <c r="G425" s="434"/>
      <c r="H425" s="434"/>
      <c r="I425" s="434"/>
      <c r="J425" s="434"/>
      <c r="K425" s="434"/>
      <c r="L425" s="434"/>
      <c r="M425" s="434"/>
      <c r="N425" s="434"/>
      <c r="O425" s="434"/>
      <c r="P425" s="434"/>
      <c r="Q425" s="434"/>
      <c r="R425" s="434"/>
      <c r="S425" s="434"/>
      <c r="T425" s="434"/>
      <c r="U425" s="434"/>
      <c r="V425" s="434"/>
      <c r="W425" s="434"/>
      <c r="X425" s="748"/>
      <c r="Y425" s="755" t="s">
        <v>97</v>
      </c>
      <c r="Z425" s="756"/>
      <c r="AA425" s="756"/>
      <c r="AB425" s="756"/>
      <c r="AC425" s="756"/>
      <c r="AD425" s="756"/>
      <c r="AE425" s="756"/>
      <c r="AF425" s="756"/>
      <c r="AG425" s="756"/>
      <c r="AH425" s="442">
        <v>0.2031</v>
      </c>
      <c r="AI425" s="442"/>
      <c r="AJ425" s="442"/>
      <c r="AK425" s="442"/>
      <c r="AL425" s="442"/>
      <c r="AM425" s="442"/>
      <c r="AN425" s="443"/>
      <c r="AO425" s="728">
        <f>ROUND(AO424*AH425,2)</f>
        <v>392.27</v>
      </c>
      <c r="AP425" s="729"/>
      <c r="AQ425" s="729"/>
      <c r="AR425" s="730"/>
    </row>
    <row r="426" spans="1:44" ht="18" customHeight="1">
      <c r="A426" s="415" t="s">
        <v>432</v>
      </c>
      <c r="B426" s="415"/>
      <c r="C426" s="434"/>
      <c r="D426" s="434"/>
      <c r="E426" s="434"/>
      <c r="F426" s="434"/>
      <c r="G426" s="434"/>
      <c r="H426" s="434"/>
      <c r="I426" s="434"/>
      <c r="J426" s="434"/>
      <c r="K426" s="434"/>
      <c r="L426" s="434"/>
      <c r="M426" s="434"/>
      <c r="N426" s="434"/>
      <c r="O426" s="434"/>
      <c r="P426" s="434"/>
      <c r="Q426" s="434"/>
      <c r="R426" s="434"/>
      <c r="S426" s="434"/>
      <c r="T426" s="434"/>
      <c r="U426" s="434"/>
      <c r="V426" s="434"/>
      <c r="W426" s="434"/>
      <c r="X426" s="748"/>
      <c r="Y426" s="731" t="s">
        <v>98</v>
      </c>
      <c r="Z426" s="732"/>
      <c r="AA426" s="732"/>
      <c r="AB426" s="732"/>
      <c r="AC426" s="732"/>
      <c r="AD426" s="732"/>
      <c r="AE426" s="732"/>
      <c r="AF426" s="732"/>
      <c r="AG426" s="732"/>
      <c r="AH426" s="732"/>
      <c r="AI426" s="732"/>
      <c r="AJ426" s="732"/>
      <c r="AK426" s="732"/>
      <c r="AL426" s="732"/>
      <c r="AM426" s="732"/>
      <c r="AN426" s="733"/>
      <c r="AO426" s="734">
        <f>SUM(AO424:AR425)</f>
        <v>2323.6999999999998</v>
      </c>
      <c r="AP426" s="735"/>
      <c r="AQ426" s="735"/>
      <c r="AR426" s="736"/>
    </row>
    <row r="428" spans="1:44" ht="18" customHeight="1">
      <c r="C428" s="420" t="s">
        <v>99</v>
      </c>
      <c r="D428" s="421"/>
      <c r="E428" s="421"/>
      <c r="F428" s="421"/>
      <c r="G428" s="421"/>
      <c r="H428" s="421"/>
      <c r="I428" s="422"/>
      <c r="J428" s="422"/>
      <c r="K428" s="422"/>
      <c r="L428" s="422"/>
      <c r="M428" s="422"/>
      <c r="N428" s="422"/>
      <c r="O428" s="422"/>
      <c r="P428" s="422"/>
      <c r="Q428" s="422"/>
      <c r="R428" s="422"/>
      <c r="S428" s="422"/>
      <c r="T428" s="422"/>
      <c r="U428" s="422"/>
      <c r="V428" s="422"/>
      <c r="W428" s="422"/>
      <c r="X428" s="422"/>
      <c r="Y428" s="422"/>
      <c r="Z428" s="422"/>
      <c r="AA428" s="422"/>
      <c r="AB428" s="422"/>
      <c r="AC428" s="422"/>
      <c r="AD428" s="422"/>
      <c r="AE428" s="422"/>
      <c r="AF428" s="422"/>
      <c r="AG428" s="422"/>
      <c r="AH428" s="422"/>
      <c r="AI428" s="422"/>
      <c r="AJ428" s="422"/>
      <c r="AK428" s="422"/>
      <c r="AL428" s="422"/>
      <c r="AM428" s="422"/>
      <c r="AN428" s="422"/>
      <c r="AO428" s="422"/>
      <c r="AP428" s="422"/>
      <c r="AQ428" s="422"/>
      <c r="AR428" s="423"/>
    </row>
    <row r="429" spans="1:44" ht="18" customHeight="1">
      <c r="C429" s="411"/>
      <c r="D429" s="412"/>
      <c r="E429" s="412"/>
      <c r="F429" s="412"/>
      <c r="G429" s="412"/>
      <c r="H429" s="412"/>
      <c r="I429" s="409"/>
      <c r="J429" s="409"/>
      <c r="K429" s="409"/>
      <c r="L429" s="409"/>
      <c r="M429" s="409"/>
      <c r="N429" s="409"/>
      <c r="O429" s="409"/>
      <c r="P429" s="409"/>
      <c r="Q429" s="409"/>
      <c r="R429" s="409"/>
      <c r="S429" s="409"/>
      <c r="T429" s="409"/>
      <c r="U429" s="409"/>
      <c r="V429" s="409"/>
      <c r="W429" s="409"/>
      <c r="X429" s="409"/>
      <c r="Y429" s="409"/>
      <c r="Z429" s="409"/>
      <c r="AA429" s="409"/>
      <c r="AB429" s="409"/>
      <c r="AC429" s="409"/>
      <c r="AD429" s="409"/>
      <c r="AE429" s="409"/>
      <c r="AF429" s="409"/>
      <c r="AG429" s="409"/>
      <c r="AH429" s="409"/>
      <c r="AI429" s="409"/>
      <c r="AJ429" s="409"/>
      <c r="AK429" s="409"/>
      <c r="AL429" s="409"/>
      <c r="AM429" s="409"/>
      <c r="AN429" s="409"/>
      <c r="AO429" s="409"/>
      <c r="AP429" s="409"/>
      <c r="AQ429" s="409"/>
      <c r="AR429" s="410"/>
    </row>
    <row r="430" spans="1:44" ht="18" customHeight="1">
      <c r="C430" s="411"/>
      <c r="D430" s="412"/>
      <c r="E430" s="412"/>
      <c r="F430" s="412"/>
      <c r="G430" s="412"/>
      <c r="H430" s="412"/>
      <c r="I430" s="409"/>
      <c r="J430" s="409"/>
      <c r="K430" s="409"/>
      <c r="L430" s="409"/>
      <c r="M430" s="409"/>
      <c r="N430" s="409"/>
      <c r="O430" s="409"/>
      <c r="P430" s="409"/>
      <c r="Q430" s="409"/>
      <c r="R430" s="409"/>
      <c r="S430" s="409"/>
      <c r="T430" s="409"/>
      <c r="U430" s="409"/>
      <c r="V430" s="409"/>
      <c r="W430" s="409"/>
      <c r="X430" s="409"/>
      <c r="Y430" s="409"/>
      <c r="Z430" s="409"/>
      <c r="AA430" s="409"/>
      <c r="AB430" s="409"/>
      <c r="AC430" s="409"/>
      <c r="AD430" s="409"/>
      <c r="AE430" s="409"/>
      <c r="AF430" s="409"/>
      <c r="AG430" s="409"/>
      <c r="AH430" s="409"/>
      <c r="AI430" s="409"/>
      <c r="AJ430" s="409"/>
      <c r="AK430" s="409"/>
      <c r="AL430" s="409"/>
      <c r="AM430" s="409"/>
      <c r="AN430" s="409"/>
      <c r="AO430" s="409"/>
      <c r="AP430" s="409"/>
      <c r="AQ430" s="409"/>
      <c r="AR430" s="410"/>
    </row>
    <row r="431" spans="1:44" ht="18" customHeight="1">
      <c r="C431" s="411"/>
      <c r="D431" s="412"/>
      <c r="E431" s="412"/>
      <c r="F431" s="412"/>
      <c r="G431" s="412"/>
      <c r="H431" s="412"/>
      <c r="I431" s="409"/>
      <c r="J431" s="409"/>
      <c r="K431" s="409"/>
      <c r="L431" s="409"/>
      <c r="M431" s="409"/>
      <c r="N431" s="409"/>
      <c r="O431" s="409"/>
      <c r="P431" s="409"/>
      <c r="Q431" s="409"/>
      <c r="R431" s="409"/>
      <c r="S431" s="409"/>
      <c r="T431" s="409"/>
      <c r="U431" s="409"/>
      <c r="V431" s="409"/>
      <c r="W431" s="409"/>
      <c r="X431" s="409"/>
      <c r="Y431" s="409"/>
      <c r="Z431" s="409"/>
      <c r="AA431" s="409"/>
      <c r="AB431" s="409"/>
      <c r="AC431" s="409"/>
      <c r="AD431" s="409"/>
      <c r="AE431" s="409"/>
      <c r="AF431" s="409"/>
      <c r="AG431" s="409"/>
      <c r="AH431" s="409"/>
      <c r="AI431" s="409"/>
      <c r="AJ431" s="409"/>
      <c r="AK431" s="409"/>
      <c r="AL431" s="409"/>
      <c r="AM431" s="409"/>
      <c r="AN431" s="409"/>
      <c r="AO431" s="409"/>
      <c r="AP431" s="409"/>
      <c r="AQ431" s="409"/>
      <c r="AR431" s="410"/>
    </row>
    <row r="432" spans="1:44" ht="18" customHeight="1">
      <c r="C432" s="411"/>
      <c r="D432" s="412"/>
      <c r="E432" s="412"/>
      <c r="F432" s="412"/>
      <c r="G432" s="412"/>
      <c r="H432" s="412"/>
      <c r="I432" s="409"/>
      <c r="J432" s="409"/>
      <c r="K432" s="409"/>
      <c r="L432" s="409"/>
      <c r="M432" s="409"/>
      <c r="N432" s="409"/>
      <c r="O432" s="409"/>
      <c r="P432" s="409"/>
      <c r="Q432" s="409"/>
      <c r="R432" s="409"/>
      <c r="S432" s="409"/>
      <c r="T432" s="409"/>
      <c r="U432" s="409"/>
      <c r="V432" s="409"/>
      <c r="W432" s="409"/>
      <c r="X432" s="409"/>
      <c r="Y432" s="409"/>
      <c r="Z432" s="409"/>
      <c r="AA432" s="409"/>
      <c r="AB432" s="409"/>
      <c r="AC432" s="409"/>
      <c r="AD432" s="409"/>
      <c r="AE432" s="409"/>
      <c r="AF432" s="409"/>
      <c r="AG432" s="409"/>
      <c r="AH432" s="409"/>
      <c r="AI432" s="409"/>
      <c r="AJ432" s="409"/>
      <c r="AK432" s="409"/>
      <c r="AL432" s="409"/>
      <c r="AM432" s="409"/>
      <c r="AN432" s="409"/>
      <c r="AO432" s="409"/>
      <c r="AP432" s="409"/>
      <c r="AQ432" s="409"/>
      <c r="AR432" s="410"/>
    </row>
    <row r="433" spans="3:44" ht="18" customHeight="1">
      <c r="C433" s="385"/>
      <c r="D433" s="386"/>
      <c r="E433" s="386"/>
      <c r="F433" s="386"/>
      <c r="G433" s="386"/>
      <c r="H433" s="386"/>
      <c r="I433" s="387"/>
      <c r="J433" s="387"/>
      <c r="K433" s="387"/>
      <c r="L433" s="387"/>
      <c r="M433" s="387"/>
      <c r="N433" s="387"/>
      <c r="O433" s="387"/>
      <c r="P433" s="387"/>
      <c r="Q433" s="387"/>
      <c r="R433" s="387"/>
      <c r="S433" s="387"/>
      <c r="T433" s="387"/>
      <c r="U433" s="387"/>
      <c r="V433" s="387"/>
      <c r="W433" s="387"/>
      <c r="X433" s="387"/>
      <c r="Y433" s="387"/>
      <c r="Z433" s="387"/>
      <c r="AA433" s="387"/>
      <c r="AB433" s="387"/>
      <c r="AC433" s="387"/>
      <c r="AD433" s="387"/>
      <c r="AE433" s="387"/>
      <c r="AF433" s="387"/>
      <c r="AG433" s="387"/>
      <c r="AH433" s="387"/>
      <c r="AI433" s="387"/>
      <c r="AJ433" s="387"/>
      <c r="AK433" s="387"/>
      <c r="AL433" s="387"/>
      <c r="AM433" s="387"/>
      <c r="AN433" s="387"/>
      <c r="AO433" s="387"/>
      <c r="AP433" s="387"/>
      <c r="AQ433" s="387"/>
      <c r="AR433" s="388"/>
    </row>
    <row r="435" spans="3:44" ht="18" customHeight="1">
      <c r="C435" s="389" t="s">
        <v>100</v>
      </c>
      <c r="D435" s="390"/>
      <c r="E435" s="390"/>
      <c r="F435" s="390"/>
      <c r="G435" s="390"/>
      <c r="H435" s="390"/>
      <c r="I435" s="390"/>
      <c r="J435" s="390"/>
      <c r="K435" s="390"/>
      <c r="L435" s="390"/>
      <c r="M435" s="390"/>
      <c r="N435" s="390"/>
      <c r="O435" s="390"/>
      <c r="P435" s="390"/>
      <c r="Q435" s="390"/>
      <c r="R435" s="390"/>
      <c r="S435" s="390"/>
      <c r="T435" s="390"/>
      <c r="U435" s="390"/>
      <c r="V435" s="390"/>
      <c r="W435" s="390"/>
      <c r="X435" s="390"/>
      <c r="Y435" s="390"/>
      <c r="Z435" s="390"/>
      <c r="AA435" s="391"/>
      <c r="AB435" s="392" t="str">
        <f>[4]C.UNIT.SERV.!$E$5</f>
        <v>DATA-BASE:      MAIO/2011/PR</v>
      </c>
      <c r="AC435" s="393"/>
      <c r="AD435" s="393"/>
      <c r="AE435" s="393"/>
      <c r="AF435" s="393"/>
      <c r="AG435" s="393"/>
      <c r="AH435" s="393"/>
      <c r="AI435" s="394"/>
      <c r="AJ435" s="392"/>
      <c r="AK435" s="393"/>
      <c r="AL435" s="393"/>
      <c r="AM435" s="393"/>
      <c r="AN435" s="393"/>
      <c r="AO435" s="393"/>
      <c r="AP435" s="393"/>
      <c r="AQ435" s="393"/>
      <c r="AR435" s="401"/>
    </row>
    <row r="436" spans="3:44" ht="18" customHeight="1">
      <c r="C436" s="404" t="s">
        <v>101</v>
      </c>
      <c r="D436" s="405"/>
      <c r="E436" s="405"/>
      <c r="F436" s="405"/>
      <c r="G436" s="405" t="s">
        <v>283</v>
      </c>
      <c r="H436" s="405"/>
      <c r="I436" s="405"/>
      <c r="J436" s="405"/>
      <c r="K436" s="405"/>
      <c r="L436" s="405"/>
      <c r="M436" s="405"/>
      <c r="N436" s="405"/>
      <c r="O436" s="405"/>
      <c r="P436" s="405"/>
      <c r="Q436" s="405"/>
      <c r="R436" s="405"/>
      <c r="S436" s="405"/>
      <c r="T436" s="405"/>
      <c r="U436" s="405"/>
      <c r="V436" s="405"/>
      <c r="W436" s="405"/>
      <c r="X436" s="405"/>
      <c r="Y436" s="405"/>
      <c r="Z436" s="405"/>
      <c r="AA436" s="406"/>
      <c r="AB436" s="395"/>
      <c r="AC436" s="396"/>
      <c r="AD436" s="396"/>
      <c r="AE436" s="396"/>
      <c r="AF436" s="396"/>
      <c r="AG436" s="396"/>
      <c r="AH436" s="396"/>
      <c r="AI436" s="397"/>
      <c r="AJ436" s="395"/>
      <c r="AK436" s="396"/>
      <c r="AL436" s="396"/>
      <c r="AM436" s="396"/>
      <c r="AN436" s="396"/>
      <c r="AO436" s="396"/>
      <c r="AP436" s="396"/>
      <c r="AQ436" s="396"/>
      <c r="AR436" s="402"/>
    </row>
    <row r="437" spans="3:44" ht="18" customHeight="1">
      <c r="C437" s="404" t="s">
        <v>102</v>
      </c>
      <c r="D437" s="405"/>
      <c r="E437" s="405"/>
      <c r="F437" s="405"/>
      <c r="G437" s="405"/>
      <c r="H437" s="405"/>
      <c r="I437" s="405"/>
      <c r="J437" s="405"/>
      <c r="K437" s="405"/>
      <c r="L437" s="405"/>
      <c r="M437" s="405"/>
      <c r="N437" s="405"/>
      <c r="O437" s="405"/>
      <c r="P437" s="405"/>
      <c r="Q437" s="405"/>
      <c r="R437" s="405"/>
      <c r="S437" s="405"/>
      <c r="T437" s="405"/>
      <c r="U437" s="405"/>
      <c r="V437" s="405"/>
      <c r="W437" s="405"/>
      <c r="X437" s="405"/>
      <c r="Y437" s="405"/>
      <c r="Z437" s="405"/>
      <c r="AA437" s="406"/>
      <c r="AB437" s="395"/>
      <c r="AC437" s="396"/>
      <c r="AD437" s="396"/>
      <c r="AE437" s="396"/>
      <c r="AF437" s="396"/>
      <c r="AG437" s="396"/>
      <c r="AH437" s="396"/>
      <c r="AI437" s="397"/>
      <c r="AJ437" s="395"/>
      <c r="AK437" s="396"/>
      <c r="AL437" s="396"/>
      <c r="AM437" s="396"/>
      <c r="AN437" s="396"/>
      <c r="AO437" s="396"/>
      <c r="AP437" s="396"/>
      <c r="AQ437" s="396"/>
      <c r="AR437" s="402"/>
    </row>
    <row r="438" spans="3:44" ht="18" customHeight="1">
      <c r="C438" s="407"/>
      <c r="D438" s="408"/>
      <c r="E438" s="408"/>
      <c r="F438" s="408"/>
      <c r="G438" s="408"/>
      <c r="H438" s="408"/>
      <c r="I438" s="408"/>
      <c r="J438" s="408"/>
      <c r="K438" s="408"/>
      <c r="L438" s="408"/>
      <c r="M438" s="408"/>
      <c r="N438" s="408"/>
      <c r="O438" s="408"/>
      <c r="P438" s="408"/>
      <c r="Q438" s="408"/>
      <c r="R438" s="408"/>
      <c r="S438" s="408"/>
      <c r="T438" s="408"/>
      <c r="U438" s="408"/>
      <c r="V438" s="408"/>
      <c r="W438" s="408"/>
      <c r="X438" s="408"/>
      <c r="Y438" s="408"/>
      <c r="Z438" s="408"/>
      <c r="AA438" s="408"/>
      <c r="AB438" s="398"/>
      <c r="AC438" s="399"/>
      <c r="AD438" s="399"/>
      <c r="AE438" s="399"/>
      <c r="AF438" s="399"/>
      <c r="AG438" s="399"/>
      <c r="AH438" s="399"/>
      <c r="AI438" s="400"/>
      <c r="AJ438" s="398"/>
      <c r="AK438" s="399"/>
      <c r="AL438" s="399"/>
      <c r="AM438" s="399"/>
      <c r="AN438" s="399"/>
      <c r="AO438" s="399"/>
      <c r="AP438" s="399"/>
      <c r="AQ438" s="399"/>
      <c r="AR438" s="403"/>
    </row>
    <row r="440" spans="3:44" ht="18" customHeight="1">
      <c r="C440" s="850" t="s">
        <v>64</v>
      </c>
      <c r="D440" s="851"/>
      <c r="E440" s="851"/>
      <c r="F440" s="851"/>
      <c r="G440" s="851"/>
      <c r="H440" s="851"/>
      <c r="I440" s="851"/>
      <c r="J440" s="851"/>
      <c r="K440" s="851"/>
      <c r="L440" s="851"/>
      <c r="M440" s="851"/>
      <c r="N440" s="851"/>
      <c r="O440" s="851"/>
      <c r="P440" s="851"/>
      <c r="Q440" s="851"/>
      <c r="R440" s="851"/>
      <c r="S440" s="851"/>
      <c r="T440" s="851"/>
      <c r="U440" s="851"/>
      <c r="V440" s="851"/>
      <c r="W440" s="851"/>
      <c r="X440" s="851"/>
      <c r="Y440" s="851"/>
      <c r="Z440" s="851"/>
      <c r="AA440" s="851"/>
      <c r="AB440" s="851"/>
      <c r="AC440" s="851"/>
      <c r="AD440" s="851"/>
      <c r="AE440" s="851"/>
      <c r="AF440" s="851"/>
      <c r="AG440" s="851"/>
      <c r="AH440" s="851"/>
      <c r="AI440" s="851"/>
      <c r="AJ440" s="851"/>
      <c r="AK440" s="851"/>
      <c r="AL440" s="851"/>
      <c r="AM440" s="851"/>
      <c r="AN440" s="851"/>
      <c r="AO440" s="851"/>
      <c r="AP440" s="851"/>
      <c r="AQ440" s="851"/>
      <c r="AR440" s="852"/>
    </row>
    <row r="441" spans="3:44" ht="18" customHeight="1">
      <c r="C441" s="853"/>
      <c r="D441" s="854"/>
      <c r="E441" s="854"/>
      <c r="F441" s="854"/>
      <c r="G441" s="854"/>
      <c r="H441" s="854"/>
      <c r="I441" s="854"/>
      <c r="J441" s="854"/>
      <c r="K441" s="854"/>
      <c r="L441" s="854"/>
      <c r="M441" s="854"/>
      <c r="N441" s="854"/>
      <c r="O441" s="854"/>
      <c r="P441" s="854"/>
      <c r="Q441" s="854"/>
      <c r="R441" s="854"/>
      <c r="S441" s="854"/>
      <c r="T441" s="854"/>
      <c r="U441" s="854"/>
      <c r="V441" s="854"/>
      <c r="W441" s="854"/>
      <c r="X441" s="854"/>
      <c r="Y441" s="854"/>
      <c r="Z441" s="854"/>
      <c r="AA441" s="854"/>
      <c r="AB441" s="854"/>
      <c r="AC441" s="854"/>
      <c r="AD441" s="854"/>
      <c r="AE441" s="854"/>
      <c r="AF441" s="854"/>
      <c r="AG441" s="854"/>
      <c r="AH441" s="854"/>
      <c r="AI441" s="854"/>
      <c r="AJ441" s="854"/>
      <c r="AK441" s="854"/>
      <c r="AL441" s="854"/>
      <c r="AM441" s="854"/>
      <c r="AN441" s="854"/>
      <c r="AO441" s="854"/>
      <c r="AP441" s="854"/>
      <c r="AQ441" s="854"/>
      <c r="AR441" s="855"/>
    </row>
    <row r="442" spans="3:44" ht="18" customHeight="1">
      <c r="C442" s="856" t="s">
        <v>65</v>
      </c>
      <c r="D442" s="857"/>
      <c r="E442" s="857"/>
      <c r="F442" s="857"/>
      <c r="G442" s="860" t="s">
        <v>427</v>
      </c>
      <c r="H442" s="860"/>
      <c r="I442" s="860"/>
      <c r="J442" s="861"/>
      <c r="K442" s="864" t="s">
        <v>66</v>
      </c>
      <c r="L442" s="865"/>
      <c r="M442" s="865"/>
      <c r="N442" s="865"/>
      <c r="O442" s="526" t="s">
        <v>436</v>
      </c>
      <c r="P442" s="526"/>
      <c r="Q442" s="526"/>
      <c r="R442" s="526"/>
      <c r="S442" s="526"/>
      <c r="T442" s="526"/>
      <c r="U442" s="526"/>
      <c r="V442" s="526"/>
      <c r="W442" s="526"/>
      <c r="X442" s="526"/>
      <c r="Y442" s="526"/>
      <c r="Z442" s="526"/>
      <c r="AA442" s="526"/>
      <c r="AB442" s="526"/>
      <c r="AC442" s="526"/>
      <c r="AD442" s="526"/>
      <c r="AE442" s="526"/>
      <c r="AF442" s="526"/>
      <c r="AG442" s="526"/>
      <c r="AH442" s="526"/>
      <c r="AI442" s="526"/>
      <c r="AJ442" s="526"/>
      <c r="AK442" s="527"/>
      <c r="AL442" s="864" t="s">
        <v>67</v>
      </c>
      <c r="AM442" s="865"/>
      <c r="AN442" s="865"/>
      <c r="AO442" s="865"/>
      <c r="AP442" s="843" t="s">
        <v>194</v>
      </c>
      <c r="AQ442" s="843"/>
      <c r="AR442" s="844"/>
    </row>
    <row r="443" spans="3:44" ht="18" customHeight="1">
      <c r="C443" s="858"/>
      <c r="D443" s="859"/>
      <c r="E443" s="859"/>
      <c r="F443" s="859"/>
      <c r="G443" s="862"/>
      <c r="H443" s="862"/>
      <c r="I443" s="862"/>
      <c r="J443" s="863"/>
      <c r="K443" s="866"/>
      <c r="L443" s="867"/>
      <c r="M443" s="867"/>
      <c r="N443" s="867"/>
      <c r="O443" s="528"/>
      <c r="P443" s="528"/>
      <c r="Q443" s="528"/>
      <c r="R443" s="528"/>
      <c r="S443" s="528"/>
      <c r="T443" s="528"/>
      <c r="U443" s="528"/>
      <c r="V443" s="528"/>
      <c r="W443" s="528"/>
      <c r="X443" s="528"/>
      <c r="Y443" s="528"/>
      <c r="Z443" s="528"/>
      <c r="AA443" s="528"/>
      <c r="AB443" s="528"/>
      <c r="AC443" s="528"/>
      <c r="AD443" s="528"/>
      <c r="AE443" s="528"/>
      <c r="AF443" s="528"/>
      <c r="AG443" s="528"/>
      <c r="AH443" s="528"/>
      <c r="AI443" s="528"/>
      <c r="AJ443" s="528"/>
      <c r="AK443" s="529"/>
      <c r="AL443" s="866"/>
      <c r="AM443" s="867"/>
      <c r="AN443" s="867"/>
      <c r="AO443" s="867"/>
      <c r="AP443" s="845"/>
      <c r="AQ443" s="845"/>
      <c r="AR443" s="846"/>
    </row>
    <row r="445" spans="3:44" ht="18" customHeight="1">
      <c r="C445" s="794" t="s">
        <v>43</v>
      </c>
      <c r="D445" s="774"/>
      <c r="E445" s="775"/>
      <c r="F445" s="773" t="s">
        <v>68</v>
      </c>
      <c r="G445" s="774"/>
      <c r="H445" s="774"/>
      <c r="I445" s="774"/>
      <c r="J445" s="774"/>
      <c r="K445" s="774"/>
      <c r="L445" s="774"/>
      <c r="M445" s="774"/>
      <c r="N445" s="774"/>
      <c r="O445" s="774"/>
      <c r="P445" s="774"/>
      <c r="Q445" s="774"/>
      <c r="R445" s="774"/>
      <c r="S445" s="774"/>
      <c r="T445" s="774"/>
      <c r="U445" s="775"/>
      <c r="V445" s="773" t="s">
        <v>249</v>
      </c>
      <c r="W445" s="774"/>
      <c r="X445" s="775"/>
      <c r="Y445" s="847" t="s">
        <v>69</v>
      </c>
      <c r="Z445" s="848"/>
      <c r="AA445" s="848"/>
      <c r="AB445" s="848"/>
      <c r="AC445" s="848"/>
      <c r="AD445" s="848"/>
      <c r="AE445" s="848"/>
      <c r="AF445" s="849"/>
      <c r="AG445" s="847" t="s">
        <v>70</v>
      </c>
      <c r="AH445" s="848"/>
      <c r="AI445" s="848"/>
      <c r="AJ445" s="848"/>
      <c r="AK445" s="848"/>
      <c r="AL445" s="848"/>
      <c r="AM445" s="848"/>
      <c r="AN445" s="849"/>
      <c r="AO445" s="773" t="s">
        <v>71</v>
      </c>
      <c r="AP445" s="774"/>
      <c r="AQ445" s="774"/>
      <c r="AR445" s="779"/>
    </row>
    <row r="446" spans="3:44" ht="18" customHeight="1">
      <c r="C446" s="795"/>
      <c r="D446" s="777"/>
      <c r="E446" s="778"/>
      <c r="F446" s="776"/>
      <c r="G446" s="777"/>
      <c r="H446" s="777"/>
      <c r="I446" s="777"/>
      <c r="J446" s="777"/>
      <c r="K446" s="777"/>
      <c r="L446" s="777"/>
      <c r="M446" s="777"/>
      <c r="N446" s="777"/>
      <c r="O446" s="777"/>
      <c r="P446" s="777"/>
      <c r="Q446" s="777"/>
      <c r="R446" s="777"/>
      <c r="S446" s="777"/>
      <c r="T446" s="777"/>
      <c r="U446" s="778"/>
      <c r="V446" s="776"/>
      <c r="W446" s="777"/>
      <c r="X446" s="778"/>
      <c r="Y446" s="834" t="s">
        <v>72</v>
      </c>
      <c r="Z446" s="835"/>
      <c r="AA446" s="835"/>
      <c r="AB446" s="836"/>
      <c r="AC446" s="834" t="s">
        <v>73</v>
      </c>
      <c r="AD446" s="835"/>
      <c r="AE446" s="835"/>
      <c r="AF446" s="836"/>
      <c r="AG446" s="834" t="s">
        <v>72</v>
      </c>
      <c r="AH446" s="835"/>
      <c r="AI446" s="835"/>
      <c r="AJ446" s="836"/>
      <c r="AK446" s="834" t="s">
        <v>73</v>
      </c>
      <c r="AL446" s="835"/>
      <c r="AM446" s="835"/>
      <c r="AN446" s="836"/>
      <c r="AO446" s="776"/>
      <c r="AP446" s="777"/>
      <c r="AQ446" s="777"/>
      <c r="AR446" s="780"/>
    </row>
    <row r="447" spans="3:44" ht="18" customHeight="1">
      <c r="C447" s="781"/>
      <c r="D447" s="782"/>
      <c r="E447" s="783"/>
      <c r="F447" s="493"/>
      <c r="G447" s="493"/>
      <c r="H447" s="493"/>
      <c r="I447" s="493"/>
      <c r="J447" s="493"/>
      <c r="K447" s="493"/>
      <c r="L447" s="493"/>
      <c r="M447" s="493"/>
      <c r="N447" s="493"/>
      <c r="O447" s="493"/>
      <c r="P447" s="493"/>
      <c r="Q447" s="493"/>
      <c r="R447" s="493"/>
      <c r="S447" s="493"/>
      <c r="T447" s="493"/>
      <c r="U447" s="493"/>
      <c r="V447" s="837"/>
      <c r="W447" s="838"/>
      <c r="X447" s="839"/>
      <c r="Y447" s="837"/>
      <c r="Z447" s="838"/>
      <c r="AA447" s="838"/>
      <c r="AB447" s="839"/>
      <c r="AC447" s="868"/>
      <c r="AD447" s="869"/>
      <c r="AE447" s="869"/>
      <c r="AF447" s="870"/>
      <c r="AG447" s="491"/>
      <c r="AH447" s="491"/>
      <c r="AI447" s="491"/>
      <c r="AJ447" s="491"/>
      <c r="AK447" s="491"/>
      <c r="AL447" s="491"/>
      <c r="AM447" s="491"/>
      <c r="AN447" s="491"/>
      <c r="AO447" s="491"/>
      <c r="AP447" s="491"/>
      <c r="AQ447" s="491"/>
      <c r="AR447" s="492"/>
    </row>
    <row r="448" spans="3:44" ht="18" customHeight="1">
      <c r="C448" s="758"/>
      <c r="D448" s="759"/>
      <c r="E448" s="760"/>
      <c r="F448" s="493"/>
      <c r="G448" s="493"/>
      <c r="H448" s="493"/>
      <c r="I448" s="493"/>
      <c r="J448" s="493"/>
      <c r="K448" s="493"/>
      <c r="L448" s="493"/>
      <c r="M448" s="493"/>
      <c r="N448" s="493"/>
      <c r="O448" s="493"/>
      <c r="P448" s="493"/>
      <c r="Q448" s="493"/>
      <c r="R448" s="493"/>
      <c r="S448" s="493"/>
      <c r="T448" s="493"/>
      <c r="U448" s="493"/>
      <c r="V448" s="466"/>
      <c r="W448" s="467"/>
      <c r="X448" s="468"/>
      <c r="Y448" s="466"/>
      <c r="Z448" s="467"/>
      <c r="AA448" s="467"/>
      <c r="AB448" s="468"/>
      <c r="AC448" s="828"/>
      <c r="AD448" s="829"/>
      <c r="AE448" s="829"/>
      <c r="AF448" s="830"/>
      <c r="AG448" s="491"/>
      <c r="AH448" s="491"/>
      <c r="AI448" s="491"/>
      <c r="AJ448" s="491"/>
      <c r="AK448" s="491"/>
      <c r="AL448" s="491"/>
      <c r="AM448" s="491"/>
      <c r="AN448" s="491"/>
      <c r="AO448" s="491"/>
      <c r="AP448" s="491"/>
      <c r="AQ448" s="491"/>
      <c r="AR448" s="492"/>
    </row>
    <row r="449" spans="3:44" ht="18" customHeight="1">
      <c r="C449" s="758"/>
      <c r="D449" s="759"/>
      <c r="E449" s="760"/>
      <c r="F449" s="493"/>
      <c r="G449" s="493"/>
      <c r="H449" s="493"/>
      <c r="I449" s="493"/>
      <c r="J449" s="493"/>
      <c r="K449" s="493"/>
      <c r="L449" s="493"/>
      <c r="M449" s="493"/>
      <c r="N449" s="493"/>
      <c r="O449" s="493"/>
      <c r="P449" s="493"/>
      <c r="Q449" s="493"/>
      <c r="R449" s="493"/>
      <c r="S449" s="493"/>
      <c r="T449" s="493"/>
      <c r="U449" s="493"/>
      <c r="V449" s="466"/>
      <c r="W449" s="467"/>
      <c r="X449" s="468"/>
      <c r="Y449" s="466"/>
      <c r="Z449" s="467"/>
      <c r="AA449" s="467"/>
      <c r="AB449" s="468"/>
      <c r="AC449" s="828"/>
      <c r="AD449" s="829"/>
      <c r="AE449" s="829"/>
      <c r="AF449" s="830"/>
      <c r="AG449" s="491"/>
      <c r="AH449" s="491"/>
      <c r="AI449" s="491"/>
      <c r="AJ449" s="491"/>
      <c r="AK449" s="491"/>
      <c r="AL449" s="491"/>
      <c r="AM449" s="491"/>
      <c r="AN449" s="491"/>
      <c r="AO449" s="491"/>
      <c r="AP449" s="491"/>
      <c r="AQ449" s="491"/>
      <c r="AR449" s="492"/>
    </row>
    <row r="450" spans="3:44" ht="18" customHeight="1">
      <c r="C450" s="758"/>
      <c r="D450" s="759"/>
      <c r="E450" s="760"/>
      <c r="F450" s="493"/>
      <c r="G450" s="493"/>
      <c r="H450" s="493"/>
      <c r="I450" s="493"/>
      <c r="J450" s="493"/>
      <c r="K450" s="493"/>
      <c r="L450" s="493"/>
      <c r="M450" s="493"/>
      <c r="N450" s="493"/>
      <c r="O450" s="493"/>
      <c r="P450" s="493"/>
      <c r="Q450" s="493"/>
      <c r="R450" s="493"/>
      <c r="S450" s="493"/>
      <c r="T450" s="493"/>
      <c r="U450" s="493"/>
      <c r="V450" s="466"/>
      <c r="W450" s="467"/>
      <c r="X450" s="468"/>
      <c r="Y450" s="466"/>
      <c r="Z450" s="467"/>
      <c r="AA450" s="467"/>
      <c r="AB450" s="468"/>
      <c r="AC450" s="828"/>
      <c r="AD450" s="829"/>
      <c r="AE450" s="829"/>
      <c r="AF450" s="830"/>
      <c r="AG450" s="491"/>
      <c r="AH450" s="491"/>
      <c r="AI450" s="491"/>
      <c r="AJ450" s="491"/>
      <c r="AK450" s="491"/>
      <c r="AL450" s="491"/>
      <c r="AM450" s="491"/>
      <c r="AN450" s="491"/>
      <c r="AO450" s="491"/>
      <c r="AP450" s="491"/>
      <c r="AQ450" s="491"/>
      <c r="AR450" s="492"/>
    </row>
    <row r="451" spans="3:44" ht="18" customHeight="1">
      <c r="C451" s="758"/>
      <c r="D451" s="759"/>
      <c r="E451" s="760"/>
      <c r="F451" s="493"/>
      <c r="G451" s="493"/>
      <c r="H451" s="493"/>
      <c r="I451" s="493"/>
      <c r="J451" s="493"/>
      <c r="K451" s="493"/>
      <c r="L451" s="493"/>
      <c r="M451" s="493"/>
      <c r="N451" s="493"/>
      <c r="O451" s="493"/>
      <c r="P451" s="493"/>
      <c r="Q451" s="493"/>
      <c r="R451" s="493"/>
      <c r="S451" s="493"/>
      <c r="T451" s="493"/>
      <c r="U451" s="493"/>
      <c r="V451" s="466"/>
      <c r="W451" s="467"/>
      <c r="X451" s="468"/>
      <c r="Y451" s="466"/>
      <c r="Z451" s="467"/>
      <c r="AA451" s="467"/>
      <c r="AB451" s="468"/>
      <c r="AC451" s="828"/>
      <c r="AD451" s="829"/>
      <c r="AE451" s="829"/>
      <c r="AF451" s="830"/>
      <c r="AG451" s="491"/>
      <c r="AH451" s="491"/>
      <c r="AI451" s="491"/>
      <c r="AJ451" s="491"/>
      <c r="AK451" s="491"/>
      <c r="AL451" s="491"/>
      <c r="AM451" s="491"/>
      <c r="AN451" s="491"/>
      <c r="AO451" s="491"/>
      <c r="AP451" s="491"/>
      <c r="AQ451" s="491"/>
      <c r="AR451" s="492"/>
    </row>
    <row r="452" spans="3:44" ht="18" customHeight="1">
      <c r="C452" s="758"/>
      <c r="D452" s="759"/>
      <c r="E452" s="760"/>
      <c r="F452" s="493"/>
      <c r="G452" s="493"/>
      <c r="H452" s="493"/>
      <c r="I452" s="493"/>
      <c r="J452" s="493"/>
      <c r="K452" s="493"/>
      <c r="L452" s="493"/>
      <c r="M452" s="493"/>
      <c r="N452" s="493"/>
      <c r="O452" s="493"/>
      <c r="P452" s="493"/>
      <c r="Q452" s="493"/>
      <c r="R452" s="493"/>
      <c r="S452" s="493"/>
      <c r="T452" s="493"/>
      <c r="U452" s="493"/>
      <c r="V452" s="466"/>
      <c r="W452" s="467"/>
      <c r="X452" s="468"/>
      <c r="Y452" s="466"/>
      <c r="Z452" s="467"/>
      <c r="AA452" s="467"/>
      <c r="AB452" s="468"/>
      <c r="AC452" s="828"/>
      <c r="AD452" s="829"/>
      <c r="AE452" s="829"/>
      <c r="AF452" s="830"/>
      <c r="AG452" s="491"/>
      <c r="AH452" s="491"/>
      <c r="AI452" s="491"/>
      <c r="AJ452" s="491"/>
      <c r="AK452" s="491"/>
      <c r="AL452" s="491"/>
      <c r="AM452" s="491"/>
      <c r="AN452" s="491"/>
      <c r="AO452" s="491"/>
      <c r="AP452" s="491"/>
      <c r="AQ452" s="491"/>
      <c r="AR452" s="492"/>
    </row>
    <row r="453" spans="3:44" ht="18" customHeight="1">
      <c r="C453" s="758"/>
      <c r="D453" s="759"/>
      <c r="E453" s="760"/>
      <c r="F453" s="796"/>
      <c r="G453" s="797"/>
      <c r="H453" s="797"/>
      <c r="I453" s="797"/>
      <c r="J453" s="797"/>
      <c r="K453" s="797"/>
      <c r="L453" s="797"/>
      <c r="M453" s="797"/>
      <c r="N453" s="797"/>
      <c r="O453" s="797"/>
      <c r="P453" s="797"/>
      <c r="Q453" s="797"/>
      <c r="R453" s="797"/>
      <c r="S453" s="797"/>
      <c r="T453" s="797"/>
      <c r="U453" s="798"/>
      <c r="V453" s="466"/>
      <c r="W453" s="467"/>
      <c r="X453" s="468"/>
      <c r="Y453" s="466"/>
      <c r="Z453" s="467"/>
      <c r="AA453" s="467"/>
      <c r="AB453" s="468"/>
      <c r="AC453" s="828"/>
      <c r="AD453" s="829"/>
      <c r="AE453" s="829"/>
      <c r="AF453" s="830"/>
      <c r="AG453" s="466"/>
      <c r="AH453" s="467"/>
      <c r="AI453" s="467"/>
      <c r="AJ453" s="468"/>
      <c r="AK453" s="466"/>
      <c r="AL453" s="467"/>
      <c r="AM453" s="467"/>
      <c r="AN453" s="468"/>
      <c r="AO453" s="466"/>
      <c r="AP453" s="467"/>
      <c r="AQ453" s="467"/>
      <c r="AR453" s="823"/>
    </row>
    <row r="454" spans="3:44" ht="18" customHeight="1">
      <c r="C454" s="758"/>
      <c r="D454" s="759"/>
      <c r="E454" s="760"/>
      <c r="F454" s="796"/>
      <c r="G454" s="797"/>
      <c r="H454" s="797"/>
      <c r="I454" s="797"/>
      <c r="J454" s="797"/>
      <c r="K454" s="797"/>
      <c r="L454" s="797"/>
      <c r="M454" s="797"/>
      <c r="N454" s="797"/>
      <c r="O454" s="797"/>
      <c r="P454" s="797"/>
      <c r="Q454" s="797"/>
      <c r="R454" s="797"/>
      <c r="S454" s="797"/>
      <c r="T454" s="797"/>
      <c r="U454" s="798"/>
      <c r="V454" s="466"/>
      <c r="W454" s="467"/>
      <c r="X454" s="468"/>
      <c r="Y454" s="466"/>
      <c r="Z454" s="467"/>
      <c r="AA454" s="467"/>
      <c r="AB454" s="468"/>
      <c r="AC454" s="828"/>
      <c r="AD454" s="829"/>
      <c r="AE454" s="829"/>
      <c r="AF454" s="830"/>
      <c r="AG454" s="466"/>
      <c r="AH454" s="467"/>
      <c r="AI454" s="467"/>
      <c r="AJ454" s="468"/>
      <c r="AK454" s="466"/>
      <c r="AL454" s="467"/>
      <c r="AM454" s="467"/>
      <c r="AN454" s="468"/>
      <c r="AO454" s="466"/>
      <c r="AP454" s="467"/>
      <c r="AQ454" s="467"/>
      <c r="AR454" s="823"/>
    </row>
    <row r="455" spans="3:44" ht="18" customHeight="1">
      <c r="C455" s="743"/>
      <c r="D455" s="744"/>
      <c r="E455" s="744"/>
      <c r="F455" s="744"/>
      <c r="G455" s="744"/>
      <c r="H455" s="744"/>
      <c r="I455" s="744"/>
      <c r="J455" s="744"/>
      <c r="K455" s="744"/>
      <c r="L455" s="744"/>
      <c r="M455" s="744"/>
      <c r="N455" s="744"/>
      <c r="O455" s="744"/>
      <c r="P455" s="744"/>
      <c r="Q455" s="744"/>
      <c r="R455" s="744"/>
      <c r="S455" s="744"/>
      <c r="T455" s="744"/>
      <c r="U455" s="744"/>
      <c r="V455" s="744"/>
      <c r="W455" s="744"/>
      <c r="X455" s="824"/>
      <c r="Y455" s="825" t="s">
        <v>74</v>
      </c>
      <c r="Z455" s="826"/>
      <c r="AA455" s="826"/>
      <c r="AB455" s="826"/>
      <c r="AC455" s="826"/>
      <c r="AD455" s="826"/>
      <c r="AE455" s="826"/>
      <c r="AF455" s="826"/>
      <c r="AG455" s="826"/>
      <c r="AH455" s="826"/>
      <c r="AI455" s="826"/>
      <c r="AJ455" s="826"/>
      <c r="AK455" s="826"/>
      <c r="AL455" s="826"/>
      <c r="AM455" s="826"/>
      <c r="AN455" s="827"/>
      <c r="AO455" s="477">
        <f>SUM(AO447:AR454)</f>
        <v>0</v>
      </c>
      <c r="AP455" s="746"/>
      <c r="AQ455" s="746"/>
      <c r="AR455" s="747"/>
    </row>
    <row r="457" spans="3:44" ht="18" customHeight="1">
      <c r="C457" s="794" t="s">
        <v>43</v>
      </c>
      <c r="D457" s="774"/>
      <c r="E457" s="775"/>
      <c r="F457" s="773" t="s">
        <v>75</v>
      </c>
      <c r="G457" s="774"/>
      <c r="H457" s="774"/>
      <c r="I457" s="774"/>
      <c r="J457" s="774"/>
      <c r="K457" s="774"/>
      <c r="L457" s="774"/>
      <c r="M457" s="774"/>
      <c r="N457" s="774"/>
      <c r="O457" s="774"/>
      <c r="P457" s="774"/>
      <c r="Q457" s="774"/>
      <c r="R457" s="774"/>
      <c r="S457" s="774"/>
      <c r="T457" s="774"/>
      <c r="U457" s="774"/>
      <c r="V457" s="774"/>
      <c r="W457" s="774"/>
      <c r="X457" s="774"/>
      <c r="Y457" s="774"/>
      <c r="Z457" s="774"/>
      <c r="AA457" s="774"/>
      <c r="AB457" s="775"/>
      <c r="AC457" s="773" t="s">
        <v>76</v>
      </c>
      <c r="AD457" s="774"/>
      <c r="AE457" s="774"/>
      <c r="AF457" s="775"/>
      <c r="AG457" s="773" t="s">
        <v>249</v>
      </c>
      <c r="AH457" s="774"/>
      <c r="AI457" s="774"/>
      <c r="AJ457" s="775"/>
      <c r="AK457" s="773" t="s">
        <v>77</v>
      </c>
      <c r="AL457" s="774"/>
      <c r="AM457" s="774"/>
      <c r="AN457" s="775"/>
      <c r="AO457" s="773" t="s">
        <v>71</v>
      </c>
      <c r="AP457" s="774"/>
      <c r="AQ457" s="774"/>
      <c r="AR457" s="779"/>
    </row>
    <row r="458" spans="3:44" ht="18" customHeight="1">
      <c r="C458" s="795"/>
      <c r="D458" s="777"/>
      <c r="E458" s="778"/>
      <c r="F458" s="776"/>
      <c r="G458" s="777"/>
      <c r="H458" s="777"/>
      <c r="I458" s="777"/>
      <c r="J458" s="777"/>
      <c r="K458" s="777"/>
      <c r="L458" s="777"/>
      <c r="M458" s="777"/>
      <c r="N458" s="777"/>
      <c r="O458" s="777"/>
      <c r="P458" s="777"/>
      <c r="Q458" s="777"/>
      <c r="R458" s="777"/>
      <c r="S458" s="777"/>
      <c r="T458" s="777"/>
      <c r="U458" s="777"/>
      <c r="V458" s="777"/>
      <c r="W458" s="777"/>
      <c r="X458" s="777"/>
      <c r="Y458" s="777"/>
      <c r="Z458" s="777"/>
      <c r="AA458" s="777"/>
      <c r="AB458" s="778"/>
      <c r="AC458" s="776"/>
      <c r="AD458" s="777"/>
      <c r="AE458" s="777"/>
      <c r="AF458" s="778"/>
      <c r="AG458" s="776"/>
      <c r="AH458" s="777"/>
      <c r="AI458" s="777"/>
      <c r="AJ458" s="778"/>
      <c r="AK458" s="776"/>
      <c r="AL458" s="777"/>
      <c r="AM458" s="777"/>
      <c r="AN458" s="778"/>
      <c r="AO458" s="776"/>
      <c r="AP458" s="777"/>
      <c r="AQ458" s="777"/>
      <c r="AR458" s="780"/>
    </row>
    <row r="459" spans="3:44" ht="18" customHeight="1">
      <c r="C459" s="781" t="s">
        <v>940</v>
      </c>
      <c r="D459" s="782"/>
      <c r="E459" s="783"/>
      <c r="F459" s="493" t="s">
        <v>105</v>
      </c>
      <c r="G459" s="493"/>
      <c r="H459" s="493"/>
      <c r="I459" s="493"/>
      <c r="J459" s="493"/>
      <c r="K459" s="493"/>
      <c r="L459" s="493"/>
      <c r="M459" s="493"/>
      <c r="N459" s="493"/>
      <c r="O459" s="493"/>
      <c r="P459" s="493"/>
      <c r="Q459" s="493"/>
      <c r="R459" s="493"/>
      <c r="S459" s="493"/>
      <c r="T459" s="493"/>
      <c r="U459" s="493"/>
      <c r="V459" s="493"/>
      <c r="W459" s="493"/>
      <c r="X459" s="493"/>
      <c r="Y459" s="493"/>
      <c r="Z459" s="493"/>
      <c r="AA459" s="493"/>
      <c r="AB459" s="493"/>
      <c r="AC459" s="770"/>
      <c r="AD459" s="771"/>
      <c r="AE459" s="771"/>
      <c r="AF459" s="790"/>
      <c r="AG459" s="770">
        <v>3</v>
      </c>
      <c r="AH459" s="771"/>
      <c r="AI459" s="771"/>
      <c r="AJ459" s="790"/>
      <c r="AK459" s="449">
        <f>VLOOKUP(C459,[4]MÃODEOBRA!A$1:D$65536,4,FALSE)</f>
        <v>22.98488</v>
      </c>
      <c r="AL459" s="449"/>
      <c r="AM459" s="449"/>
      <c r="AN459" s="449"/>
      <c r="AO459" s="491">
        <f>ROUND(AG459*AK459,2)</f>
        <v>68.95</v>
      </c>
      <c r="AP459" s="491"/>
      <c r="AQ459" s="491"/>
      <c r="AR459" s="492"/>
    </row>
    <row r="460" spans="3:44" ht="18" customHeight="1">
      <c r="C460" s="758"/>
      <c r="D460" s="759"/>
      <c r="E460" s="760"/>
      <c r="F460" s="493"/>
      <c r="G460" s="493"/>
      <c r="H460" s="493"/>
      <c r="I460" s="493"/>
      <c r="J460" s="493"/>
      <c r="K460" s="493"/>
      <c r="L460" s="493"/>
      <c r="M460" s="493"/>
      <c r="N460" s="493"/>
      <c r="O460" s="493"/>
      <c r="P460" s="493"/>
      <c r="Q460" s="493"/>
      <c r="R460" s="493"/>
      <c r="S460" s="493"/>
      <c r="T460" s="493"/>
      <c r="U460" s="493"/>
      <c r="V460" s="493"/>
      <c r="W460" s="493"/>
      <c r="X460" s="493"/>
      <c r="Y460" s="493"/>
      <c r="Z460" s="493"/>
      <c r="AA460" s="493"/>
      <c r="AB460" s="493"/>
      <c r="AC460" s="740"/>
      <c r="AD460" s="741"/>
      <c r="AE460" s="741"/>
      <c r="AF460" s="757"/>
      <c r="AG460" s="740"/>
      <c r="AH460" s="741"/>
      <c r="AI460" s="741"/>
      <c r="AJ460" s="757"/>
      <c r="AK460" s="449"/>
      <c r="AL460" s="449"/>
      <c r="AM460" s="449"/>
      <c r="AN460" s="449"/>
      <c r="AO460" s="491"/>
      <c r="AP460" s="491"/>
      <c r="AQ460" s="491"/>
      <c r="AR460" s="492"/>
    </row>
    <row r="461" spans="3:44" ht="18" customHeight="1">
      <c r="C461" s="758"/>
      <c r="D461" s="759"/>
      <c r="E461" s="760"/>
      <c r="F461" s="796"/>
      <c r="G461" s="797"/>
      <c r="H461" s="797"/>
      <c r="I461" s="797"/>
      <c r="J461" s="797"/>
      <c r="K461" s="797"/>
      <c r="L461" s="797"/>
      <c r="M461" s="797"/>
      <c r="N461" s="797"/>
      <c r="O461" s="797"/>
      <c r="P461" s="797"/>
      <c r="Q461" s="797"/>
      <c r="R461" s="797"/>
      <c r="S461" s="797"/>
      <c r="T461" s="797"/>
      <c r="U461" s="797"/>
      <c r="V461" s="797"/>
      <c r="W461" s="797"/>
      <c r="X461" s="797"/>
      <c r="Y461" s="797"/>
      <c r="Z461" s="797"/>
      <c r="AA461" s="797"/>
      <c r="AB461" s="798"/>
      <c r="AC461" s="740"/>
      <c r="AD461" s="741"/>
      <c r="AE461" s="741"/>
      <c r="AF461" s="757"/>
      <c r="AG461" s="740"/>
      <c r="AH461" s="741"/>
      <c r="AI461" s="741"/>
      <c r="AJ461" s="757"/>
      <c r="AK461" s="740"/>
      <c r="AL461" s="741"/>
      <c r="AM461" s="741"/>
      <c r="AN461" s="757"/>
      <c r="AO461" s="466"/>
      <c r="AP461" s="467"/>
      <c r="AQ461" s="467"/>
      <c r="AR461" s="823"/>
    </row>
    <row r="462" spans="3:44" ht="18" customHeight="1">
      <c r="C462" s="758"/>
      <c r="D462" s="759"/>
      <c r="E462" s="760"/>
      <c r="F462" s="796"/>
      <c r="G462" s="797"/>
      <c r="H462" s="797"/>
      <c r="I462" s="797"/>
      <c r="J462" s="797"/>
      <c r="K462" s="797"/>
      <c r="L462" s="797"/>
      <c r="M462" s="797"/>
      <c r="N462" s="797"/>
      <c r="O462" s="797"/>
      <c r="P462" s="797"/>
      <c r="Q462" s="797"/>
      <c r="R462" s="797"/>
      <c r="S462" s="797"/>
      <c r="T462" s="797"/>
      <c r="U462" s="797"/>
      <c r="V462" s="797"/>
      <c r="W462" s="797"/>
      <c r="X462" s="797"/>
      <c r="Y462" s="797"/>
      <c r="Z462" s="797"/>
      <c r="AA462" s="797"/>
      <c r="AB462" s="798"/>
      <c r="AC462" s="740"/>
      <c r="AD462" s="741"/>
      <c r="AE462" s="741"/>
      <c r="AF462" s="757"/>
      <c r="AG462" s="740"/>
      <c r="AH462" s="741"/>
      <c r="AI462" s="741"/>
      <c r="AJ462" s="757"/>
      <c r="AK462" s="740"/>
      <c r="AL462" s="741"/>
      <c r="AM462" s="741"/>
      <c r="AN462" s="757"/>
      <c r="AO462" s="466"/>
      <c r="AP462" s="467"/>
      <c r="AQ462" s="467"/>
      <c r="AR462" s="823"/>
    </row>
    <row r="463" spans="3:44" ht="18" customHeight="1">
      <c r="C463" s="758"/>
      <c r="D463" s="759"/>
      <c r="E463" s="760"/>
      <c r="F463" s="796"/>
      <c r="G463" s="797"/>
      <c r="H463" s="797"/>
      <c r="I463" s="797"/>
      <c r="J463" s="797"/>
      <c r="K463" s="797"/>
      <c r="L463" s="797"/>
      <c r="M463" s="797"/>
      <c r="N463" s="797"/>
      <c r="O463" s="797"/>
      <c r="P463" s="797"/>
      <c r="Q463" s="797"/>
      <c r="R463" s="797"/>
      <c r="S463" s="797"/>
      <c r="T463" s="797"/>
      <c r="U463" s="797"/>
      <c r="V463" s="797"/>
      <c r="W463" s="797"/>
      <c r="X463" s="797"/>
      <c r="Y463" s="797"/>
      <c r="Z463" s="797"/>
      <c r="AA463" s="797"/>
      <c r="AB463" s="798"/>
      <c r="AC463" s="740"/>
      <c r="AD463" s="741"/>
      <c r="AE463" s="741"/>
      <c r="AF463" s="757"/>
      <c r="AG463" s="740"/>
      <c r="AH463" s="741"/>
      <c r="AI463" s="741"/>
      <c r="AJ463" s="757"/>
      <c r="AK463" s="740"/>
      <c r="AL463" s="741"/>
      <c r="AM463" s="741"/>
      <c r="AN463" s="757"/>
      <c r="AO463" s="466"/>
      <c r="AP463" s="467"/>
      <c r="AQ463" s="467"/>
      <c r="AR463" s="823"/>
    </row>
    <row r="464" spans="3:44" ht="18" customHeight="1">
      <c r="C464" s="758"/>
      <c r="D464" s="759"/>
      <c r="E464" s="760"/>
      <c r="F464" s="796"/>
      <c r="G464" s="797"/>
      <c r="H464" s="797"/>
      <c r="I464" s="797"/>
      <c r="J464" s="797"/>
      <c r="K464" s="797"/>
      <c r="L464" s="797"/>
      <c r="M464" s="797"/>
      <c r="N464" s="797"/>
      <c r="O464" s="797"/>
      <c r="P464" s="797"/>
      <c r="Q464" s="797"/>
      <c r="R464" s="797"/>
      <c r="S464" s="797"/>
      <c r="T464" s="797"/>
      <c r="U464" s="797"/>
      <c r="V464" s="797"/>
      <c r="W464" s="797"/>
      <c r="X464" s="797"/>
      <c r="Y464" s="797"/>
      <c r="Z464" s="797"/>
      <c r="AA464" s="797"/>
      <c r="AB464" s="798"/>
      <c r="AC464" s="740"/>
      <c r="AD464" s="741"/>
      <c r="AE464" s="741"/>
      <c r="AF464" s="757"/>
      <c r="AG464" s="740"/>
      <c r="AH464" s="741"/>
      <c r="AI464" s="741"/>
      <c r="AJ464" s="757"/>
      <c r="AK464" s="740"/>
      <c r="AL464" s="741"/>
      <c r="AM464" s="741"/>
      <c r="AN464" s="757"/>
      <c r="AO464" s="466"/>
      <c r="AP464" s="467"/>
      <c r="AQ464" s="467"/>
      <c r="AR464" s="823"/>
    </row>
    <row r="465" spans="3:44" ht="18" customHeight="1">
      <c r="C465" s="758"/>
      <c r="D465" s="759"/>
      <c r="E465" s="760"/>
      <c r="F465" s="796"/>
      <c r="G465" s="797"/>
      <c r="H465" s="797"/>
      <c r="I465" s="797"/>
      <c r="J465" s="797"/>
      <c r="K465" s="797"/>
      <c r="L465" s="797"/>
      <c r="M465" s="797"/>
      <c r="N465" s="797"/>
      <c r="O465" s="797"/>
      <c r="P465" s="797"/>
      <c r="Q465" s="797"/>
      <c r="R465" s="797"/>
      <c r="S465" s="797"/>
      <c r="T465" s="797"/>
      <c r="U465" s="797"/>
      <c r="V465" s="797"/>
      <c r="W465" s="797"/>
      <c r="X465" s="797"/>
      <c r="Y465" s="797"/>
      <c r="Z465" s="797"/>
      <c r="AA465" s="797"/>
      <c r="AB465" s="798"/>
      <c r="AC465" s="740"/>
      <c r="AD465" s="741"/>
      <c r="AE465" s="741"/>
      <c r="AF465" s="757"/>
      <c r="AG465" s="740"/>
      <c r="AH465" s="741"/>
      <c r="AI465" s="741"/>
      <c r="AJ465" s="757"/>
      <c r="AK465" s="740"/>
      <c r="AL465" s="741"/>
      <c r="AM465" s="741"/>
      <c r="AN465" s="757"/>
      <c r="AO465" s="466"/>
      <c r="AP465" s="467"/>
      <c r="AQ465" s="467"/>
      <c r="AR465" s="823"/>
    </row>
    <row r="466" spans="3:44" ht="18" customHeight="1">
      <c r="C466" s="758"/>
      <c r="D466" s="759"/>
      <c r="E466" s="760"/>
      <c r="F466" s="796"/>
      <c r="G466" s="797"/>
      <c r="H466" s="797"/>
      <c r="I466" s="797"/>
      <c r="J466" s="797"/>
      <c r="K466" s="797"/>
      <c r="L466" s="797"/>
      <c r="M466" s="797"/>
      <c r="N466" s="797"/>
      <c r="O466" s="797"/>
      <c r="P466" s="797"/>
      <c r="Q466" s="797"/>
      <c r="R466" s="797"/>
      <c r="S466" s="797"/>
      <c r="T466" s="797"/>
      <c r="U466" s="797"/>
      <c r="V466" s="797"/>
      <c r="W466" s="797"/>
      <c r="X466" s="797"/>
      <c r="Y466" s="797"/>
      <c r="Z466" s="797"/>
      <c r="AA466" s="797"/>
      <c r="AB466" s="798"/>
      <c r="AC466" s="740"/>
      <c r="AD466" s="741"/>
      <c r="AE466" s="741"/>
      <c r="AF466" s="757"/>
      <c r="AG466" s="740"/>
      <c r="AH466" s="741"/>
      <c r="AI466" s="741"/>
      <c r="AJ466" s="757"/>
      <c r="AK466" s="740"/>
      <c r="AL466" s="741"/>
      <c r="AM466" s="741"/>
      <c r="AN466" s="757"/>
      <c r="AO466" s="466"/>
      <c r="AP466" s="467"/>
      <c r="AQ466" s="467"/>
      <c r="AR466" s="823"/>
    </row>
    <row r="467" spans="3:44" ht="18" customHeight="1">
      <c r="C467" s="814"/>
      <c r="D467" s="815"/>
      <c r="E467" s="815"/>
      <c r="F467" s="815"/>
      <c r="G467" s="815"/>
      <c r="H467" s="815"/>
      <c r="I467" s="815"/>
      <c r="J467" s="815"/>
      <c r="K467" s="815"/>
      <c r="L467" s="815"/>
      <c r="M467" s="815"/>
      <c r="N467" s="815"/>
      <c r="O467" s="815"/>
      <c r="P467" s="815"/>
      <c r="Q467" s="815"/>
      <c r="R467" s="815"/>
      <c r="S467" s="815"/>
      <c r="T467" s="815"/>
      <c r="U467" s="815"/>
      <c r="V467" s="815"/>
      <c r="W467" s="815"/>
      <c r="X467" s="815"/>
      <c r="Y467" s="816" t="s">
        <v>78</v>
      </c>
      <c r="Z467" s="816"/>
      <c r="AA467" s="816"/>
      <c r="AB467" s="816"/>
      <c r="AC467" s="816"/>
      <c r="AD467" s="816"/>
      <c r="AE467" s="816"/>
      <c r="AF467" s="483"/>
      <c r="AG467" s="817" t="s">
        <v>267</v>
      </c>
      <c r="AH467" s="818"/>
      <c r="AI467" s="818"/>
      <c r="AJ467" s="819"/>
      <c r="AK467" s="466">
        <f>SUM(AO459:AR466)</f>
        <v>68.95</v>
      </c>
      <c r="AL467" s="467"/>
      <c r="AM467" s="467"/>
      <c r="AN467" s="468"/>
      <c r="AO467" s="820">
        <f>ROUND(AG467*AK467,2)</f>
        <v>14.14</v>
      </c>
      <c r="AP467" s="821"/>
      <c r="AQ467" s="821"/>
      <c r="AR467" s="822"/>
    </row>
    <row r="468" spans="3:44" ht="18" customHeight="1">
      <c r="C468" s="743"/>
      <c r="D468" s="744"/>
      <c r="E468" s="744"/>
      <c r="F468" s="744"/>
      <c r="G468" s="744"/>
      <c r="H468" s="744"/>
      <c r="I468" s="744"/>
      <c r="J468" s="744"/>
      <c r="K468" s="744"/>
      <c r="L468" s="744"/>
      <c r="M468" s="744"/>
      <c r="N468" s="744"/>
      <c r="O468" s="744"/>
      <c r="P468" s="744"/>
      <c r="Q468" s="744"/>
      <c r="R468" s="744"/>
      <c r="S468" s="744"/>
      <c r="T468" s="744"/>
      <c r="U468" s="744"/>
      <c r="V468" s="744"/>
      <c r="W468" s="744"/>
      <c r="X468" s="744"/>
      <c r="Y468" s="745" t="s">
        <v>79</v>
      </c>
      <c r="Z468" s="745"/>
      <c r="AA468" s="745"/>
      <c r="AB468" s="745"/>
      <c r="AC468" s="745"/>
      <c r="AD468" s="745"/>
      <c r="AE468" s="745"/>
      <c r="AF468" s="745"/>
      <c r="AG468" s="745"/>
      <c r="AH468" s="745"/>
      <c r="AI468" s="745"/>
      <c r="AJ468" s="745"/>
      <c r="AK468" s="745"/>
      <c r="AL468" s="745"/>
      <c r="AM468" s="745"/>
      <c r="AN468" s="430"/>
      <c r="AO468" s="477">
        <f>SUM(AO459:AR467)</f>
        <v>83.09</v>
      </c>
      <c r="AP468" s="746"/>
      <c r="AQ468" s="746"/>
      <c r="AR468" s="747"/>
    </row>
    <row r="470" spans="3:44" ht="18" customHeight="1">
      <c r="C470" s="802"/>
      <c r="D470" s="803"/>
      <c r="E470" s="803"/>
      <c r="F470" s="803"/>
      <c r="G470" s="803"/>
      <c r="H470" s="803"/>
      <c r="I470" s="803"/>
      <c r="J470" s="803"/>
      <c r="K470" s="803"/>
      <c r="L470" s="803"/>
      <c r="M470" s="803"/>
      <c r="N470" s="803"/>
      <c r="O470" s="803"/>
      <c r="P470" s="803"/>
      <c r="Q470" s="803"/>
      <c r="R470" s="803"/>
      <c r="S470" s="803"/>
      <c r="T470" s="803"/>
      <c r="U470" s="803"/>
      <c r="V470" s="803"/>
      <c r="W470" s="803"/>
      <c r="X470" s="803"/>
      <c r="Y470" s="804" t="s">
        <v>80</v>
      </c>
      <c r="Z470" s="805"/>
      <c r="AA470" s="805"/>
      <c r="AB470" s="805"/>
      <c r="AC470" s="805"/>
      <c r="AD470" s="805"/>
      <c r="AE470" s="805"/>
      <c r="AF470" s="805"/>
      <c r="AG470" s="805"/>
      <c r="AH470" s="805"/>
      <c r="AI470" s="805"/>
      <c r="AJ470" s="805"/>
      <c r="AK470" s="805"/>
      <c r="AL470" s="805"/>
      <c r="AM470" s="805"/>
      <c r="AN470" s="806"/>
      <c r="AO470" s="807">
        <f>AO455+AO468</f>
        <v>83.09</v>
      </c>
      <c r="AP470" s="808"/>
      <c r="AQ470" s="808"/>
      <c r="AR470" s="809"/>
    </row>
    <row r="471" spans="3:44" ht="18" customHeight="1">
      <c r="C471" s="810" t="s">
        <v>81</v>
      </c>
      <c r="D471" s="745"/>
      <c r="E471" s="745"/>
      <c r="F471" s="745"/>
      <c r="G471" s="745"/>
      <c r="H471" s="745"/>
      <c r="I471" s="745"/>
      <c r="J471" s="745"/>
      <c r="K471" s="745"/>
      <c r="L471" s="745"/>
      <c r="M471" s="745"/>
      <c r="N471" s="745"/>
      <c r="O471" s="745"/>
      <c r="P471" s="430"/>
      <c r="Q471" s="477">
        <v>1</v>
      </c>
      <c r="R471" s="746"/>
      <c r="S471" s="746"/>
      <c r="T471" s="746"/>
      <c r="U471" s="746"/>
      <c r="V471" s="745" t="s">
        <v>194</v>
      </c>
      <c r="W471" s="745"/>
      <c r="X471" s="430"/>
      <c r="Y471" s="804" t="s">
        <v>82</v>
      </c>
      <c r="Z471" s="805"/>
      <c r="AA471" s="805"/>
      <c r="AB471" s="805"/>
      <c r="AC471" s="805"/>
      <c r="AD471" s="805"/>
      <c r="AE471" s="805"/>
      <c r="AF471" s="805"/>
      <c r="AG471" s="805"/>
      <c r="AH471" s="805"/>
      <c r="AI471" s="805"/>
      <c r="AJ471" s="805"/>
      <c r="AK471" s="805"/>
      <c r="AL471" s="805"/>
      <c r="AM471" s="805"/>
      <c r="AN471" s="806"/>
      <c r="AO471" s="811">
        <f>ROUND(AO470/Q471,2)</f>
        <v>83.09</v>
      </c>
      <c r="AP471" s="812"/>
      <c r="AQ471" s="812"/>
      <c r="AR471" s="813"/>
    </row>
    <row r="473" spans="3:44" ht="18" customHeight="1">
      <c r="C473" s="794" t="s">
        <v>43</v>
      </c>
      <c r="D473" s="774"/>
      <c r="E473" s="775"/>
      <c r="F473" s="773" t="s">
        <v>83</v>
      </c>
      <c r="G473" s="774"/>
      <c r="H473" s="774"/>
      <c r="I473" s="774"/>
      <c r="J473" s="774"/>
      <c r="K473" s="774"/>
      <c r="L473" s="774"/>
      <c r="M473" s="774"/>
      <c r="N473" s="774"/>
      <c r="O473" s="774"/>
      <c r="P473" s="774"/>
      <c r="Q473" s="774"/>
      <c r="R473" s="774"/>
      <c r="S473" s="774"/>
      <c r="T473" s="774"/>
      <c r="U473" s="774"/>
      <c r="V473" s="774"/>
      <c r="W473" s="774"/>
      <c r="X473" s="774"/>
      <c r="Y473" s="774"/>
      <c r="Z473" s="774"/>
      <c r="AA473" s="774"/>
      <c r="AB473" s="775"/>
      <c r="AC473" s="773" t="s">
        <v>84</v>
      </c>
      <c r="AD473" s="774"/>
      <c r="AE473" s="774"/>
      <c r="AF473" s="775"/>
      <c r="AG473" s="773" t="s">
        <v>85</v>
      </c>
      <c r="AH473" s="774"/>
      <c r="AI473" s="774"/>
      <c r="AJ473" s="775"/>
      <c r="AK473" s="773" t="s">
        <v>86</v>
      </c>
      <c r="AL473" s="774"/>
      <c r="AM473" s="774"/>
      <c r="AN473" s="775"/>
      <c r="AO473" s="773" t="s">
        <v>87</v>
      </c>
      <c r="AP473" s="774"/>
      <c r="AQ473" s="774"/>
      <c r="AR473" s="779"/>
    </row>
    <row r="474" spans="3:44" ht="18" customHeight="1">
      <c r="C474" s="795"/>
      <c r="D474" s="777"/>
      <c r="E474" s="778"/>
      <c r="F474" s="776"/>
      <c r="G474" s="777"/>
      <c r="H474" s="777"/>
      <c r="I474" s="777"/>
      <c r="J474" s="777"/>
      <c r="K474" s="777"/>
      <c r="L474" s="777"/>
      <c r="M474" s="777"/>
      <c r="N474" s="777"/>
      <c r="O474" s="777"/>
      <c r="P474" s="777"/>
      <c r="Q474" s="777"/>
      <c r="R474" s="777"/>
      <c r="S474" s="777"/>
      <c r="T474" s="777"/>
      <c r="U474" s="777"/>
      <c r="V474" s="777"/>
      <c r="W474" s="777"/>
      <c r="X474" s="777"/>
      <c r="Y474" s="777"/>
      <c r="Z474" s="777"/>
      <c r="AA474" s="777"/>
      <c r="AB474" s="778"/>
      <c r="AC474" s="776"/>
      <c r="AD474" s="777"/>
      <c r="AE474" s="777"/>
      <c r="AF474" s="778"/>
      <c r="AG474" s="776"/>
      <c r="AH474" s="777"/>
      <c r="AI474" s="777"/>
      <c r="AJ474" s="778"/>
      <c r="AK474" s="776"/>
      <c r="AL474" s="777"/>
      <c r="AM474" s="777"/>
      <c r="AN474" s="778"/>
      <c r="AO474" s="776"/>
      <c r="AP474" s="777"/>
      <c r="AQ474" s="777"/>
      <c r="AR474" s="780"/>
    </row>
    <row r="475" spans="3:44" ht="18" customHeight="1">
      <c r="C475" s="758" t="s">
        <v>857</v>
      </c>
      <c r="D475" s="759"/>
      <c r="E475" s="760"/>
      <c r="F475" s="796" t="s">
        <v>374</v>
      </c>
      <c r="G475" s="797"/>
      <c r="H475" s="797"/>
      <c r="I475" s="797"/>
      <c r="J475" s="797"/>
      <c r="K475" s="797"/>
      <c r="L475" s="797"/>
      <c r="M475" s="797"/>
      <c r="N475" s="797"/>
      <c r="O475" s="797"/>
      <c r="P475" s="797"/>
      <c r="Q475" s="797"/>
      <c r="R475" s="797"/>
      <c r="S475" s="797"/>
      <c r="T475" s="797"/>
      <c r="U475" s="797"/>
      <c r="V475" s="797"/>
      <c r="W475" s="797"/>
      <c r="X475" s="797"/>
      <c r="Y475" s="797"/>
      <c r="Z475" s="797"/>
      <c r="AA475" s="797"/>
      <c r="AB475" s="798"/>
      <c r="AC475" s="799" t="s">
        <v>245</v>
      </c>
      <c r="AD475" s="800"/>
      <c r="AE475" s="800"/>
      <c r="AF475" s="801"/>
      <c r="AG475" s="466">
        <f>TRUNC(301.73/1.2031,2)</f>
        <v>250.79</v>
      </c>
      <c r="AH475" s="467"/>
      <c r="AI475" s="467"/>
      <c r="AJ475" s="468"/>
      <c r="AK475" s="737">
        <v>0.104</v>
      </c>
      <c r="AL475" s="738"/>
      <c r="AM475" s="738"/>
      <c r="AN475" s="739"/>
      <c r="AO475" s="740">
        <f>ROUND(AG475*AK475,2)</f>
        <v>26.08</v>
      </c>
      <c r="AP475" s="741"/>
      <c r="AQ475" s="741"/>
      <c r="AR475" s="742"/>
    </row>
    <row r="476" spans="3:44" ht="18" customHeight="1">
      <c r="C476" s="758" t="s">
        <v>1377</v>
      </c>
      <c r="D476" s="759"/>
      <c r="E476" s="760"/>
      <c r="F476" s="796" t="s">
        <v>417</v>
      </c>
      <c r="G476" s="797"/>
      <c r="H476" s="797"/>
      <c r="I476" s="797"/>
      <c r="J476" s="797"/>
      <c r="K476" s="797"/>
      <c r="L476" s="797"/>
      <c r="M476" s="797"/>
      <c r="N476" s="797"/>
      <c r="O476" s="797"/>
      <c r="P476" s="797"/>
      <c r="Q476" s="797"/>
      <c r="R476" s="797"/>
      <c r="S476" s="797"/>
      <c r="T476" s="797"/>
      <c r="U476" s="797"/>
      <c r="V476" s="797"/>
      <c r="W476" s="797"/>
      <c r="X476" s="797"/>
      <c r="Y476" s="797"/>
      <c r="Z476" s="797"/>
      <c r="AA476" s="797"/>
      <c r="AB476" s="798"/>
      <c r="AC476" s="799" t="s">
        <v>245</v>
      </c>
      <c r="AD476" s="800"/>
      <c r="AE476" s="800"/>
      <c r="AF476" s="801"/>
      <c r="AG476" s="466">
        <f>TRUNC(373.21/1.2031,2)</f>
        <v>310.2</v>
      </c>
      <c r="AH476" s="467"/>
      <c r="AI476" s="467"/>
      <c r="AJ476" s="468"/>
      <c r="AK476" s="737">
        <v>2.883</v>
      </c>
      <c r="AL476" s="738"/>
      <c r="AM476" s="738"/>
      <c r="AN476" s="739"/>
      <c r="AO476" s="740">
        <f>ROUND(AG476*AK476,2)</f>
        <v>894.31</v>
      </c>
      <c r="AP476" s="741"/>
      <c r="AQ476" s="741"/>
      <c r="AR476" s="742"/>
    </row>
    <row r="477" spans="3:44" ht="18" customHeight="1">
      <c r="C477" s="758" t="s">
        <v>1376</v>
      </c>
      <c r="D477" s="759"/>
      <c r="E477" s="760"/>
      <c r="F477" s="796" t="s">
        <v>370</v>
      </c>
      <c r="G477" s="797"/>
      <c r="H477" s="797"/>
      <c r="I477" s="797"/>
      <c r="J477" s="797"/>
      <c r="K477" s="797"/>
      <c r="L477" s="797"/>
      <c r="M477" s="797"/>
      <c r="N477" s="797"/>
      <c r="O477" s="797"/>
      <c r="P477" s="797"/>
      <c r="Q477" s="797"/>
      <c r="R477" s="797"/>
      <c r="S477" s="797"/>
      <c r="T477" s="797"/>
      <c r="U477" s="797"/>
      <c r="V477" s="797"/>
      <c r="W477" s="797"/>
      <c r="X477" s="797"/>
      <c r="Y477" s="797"/>
      <c r="Z477" s="797"/>
      <c r="AA477" s="797"/>
      <c r="AB477" s="798"/>
      <c r="AC477" s="799" t="s">
        <v>309</v>
      </c>
      <c r="AD477" s="800"/>
      <c r="AE477" s="800"/>
      <c r="AF477" s="801"/>
      <c r="AG477" s="466">
        <f>TRUNC(43.8/1.2031,2)</f>
        <v>36.4</v>
      </c>
      <c r="AH477" s="467"/>
      <c r="AI477" s="467"/>
      <c r="AJ477" s="468"/>
      <c r="AK477" s="737">
        <v>30.88</v>
      </c>
      <c r="AL477" s="738"/>
      <c r="AM477" s="738"/>
      <c r="AN477" s="739"/>
      <c r="AO477" s="740">
        <f>ROUND(AG477*AK477,2)</f>
        <v>1124.03</v>
      </c>
      <c r="AP477" s="741"/>
      <c r="AQ477" s="741"/>
      <c r="AR477" s="742"/>
    </row>
    <row r="478" spans="3:44" ht="18" customHeight="1">
      <c r="C478" s="758" t="s">
        <v>860</v>
      </c>
      <c r="D478" s="759"/>
      <c r="E478" s="760"/>
      <c r="F478" s="796" t="s">
        <v>418</v>
      </c>
      <c r="G478" s="797"/>
      <c r="H478" s="797"/>
      <c r="I478" s="797"/>
      <c r="J478" s="797"/>
      <c r="K478" s="797"/>
      <c r="L478" s="797"/>
      <c r="M478" s="797"/>
      <c r="N478" s="797"/>
      <c r="O478" s="797"/>
      <c r="P478" s="797"/>
      <c r="Q478" s="797"/>
      <c r="R478" s="797"/>
      <c r="S478" s="797"/>
      <c r="T478" s="797"/>
      <c r="U478" s="797"/>
      <c r="V478" s="797"/>
      <c r="W478" s="797"/>
      <c r="X478" s="797"/>
      <c r="Y478" s="797"/>
      <c r="Z478" s="797"/>
      <c r="AA478" s="797"/>
      <c r="AB478" s="798"/>
      <c r="AC478" s="799" t="s">
        <v>194</v>
      </c>
      <c r="AD478" s="800"/>
      <c r="AE478" s="800"/>
      <c r="AF478" s="801"/>
      <c r="AG478" s="466">
        <f>TRUNC(175.93/1.2031,2)</f>
        <v>146.22999999999999</v>
      </c>
      <c r="AH478" s="467"/>
      <c r="AI478" s="467"/>
      <c r="AJ478" s="468"/>
      <c r="AK478" s="737">
        <v>2</v>
      </c>
      <c r="AL478" s="738"/>
      <c r="AM478" s="738"/>
      <c r="AN478" s="739"/>
      <c r="AO478" s="740">
        <f>ROUND(AG478*AK478,2)</f>
        <v>292.45999999999998</v>
      </c>
      <c r="AP478" s="741"/>
      <c r="AQ478" s="741"/>
      <c r="AR478" s="742"/>
    </row>
    <row r="479" spans="3:44" ht="18" customHeight="1">
      <c r="C479" s="758"/>
      <c r="D479" s="759"/>
      <c r="E479" s="760"/>
      <c r="F479" s="796"/>
      <c r="G479" s="797"/>
      <c r="H479" s="797"/>
      <c r="I479" s="797"/>
      <c r="J479" s="797"/>
      <c r="K479" s="797"/>
      <c r="L479" s="797"/>
      <c r="M479" s="797"/>
      <c r="N479" s="797"/>
      <c r="O479" s="797"/>
      <c r="P479" s="797"/>
      <c r="Q479" s="797"/>
      <c r="R479" s="797"/>
      <c r="S479" s="797"/>
      <c r="T479" s="797"/>
      <c r="U479" s="797"/>
      <c r="V479" s="797"/>
      <c r="W479" s="797"/>
      <c r="X479" s="797"/>
      <c r="Y479" s="797"/>
      <c r="Z479" s="797"/>
      <c r="AA479" s="797"/>
      <c r="AB479" s="798"/>
      <c r="AC479" s="799"/>
      <c r="AD479" s="800"/>
      <c r="AE479" s="800"/>
      <c r="AF479" s="801"/>
      <c r="AG479" s="466"/>
      <c r="AH479" s="467"/>
      <c r="AI479" s="467"/>
      <c r="AJ479" s="468"/>
      <c r="AK479" s="737"/>
      <c r="AL479" s="738"/>
      <c r="AM479" s="738"/>
      <c r="AN479" s="739"/>
      <c r="AO479" s="740"/>
      <c r="AP479" s="741"/>
      <c r="AQ479" s="741"/>
      <c r="AR479" s="742"/>
    </row>
    <row r="480" spans="3:44" ht="18" customHeight="1">
      <c r="C480" s="758"/>
      <c r="D480" s="759"/>
      <c r="E480" s="760"/>
      <c r="F480" s="796"/>
      <c r="G480" s="797"/>
      <c r="H480" s="797"/>
      <c r="I480" s="797"/>
      <c r="J480" s="797"/>
      <c r="K480" s="797"/>
      <c r="L480" s="797"/>
      <c r="M480" s="797"/>
      <c r="N480" s="797"/>
      <c r="O480" s="797"/>
      <c r="P480" s="797"/>
      <c r="Q480" s="797"/>
      <c r="R480" s="797"/>
      <c r="S480" s="797"/>
      <c r="T480" s="797"/>
      <c r="U480" s="797"/>
      <c r="V480" s="797"/>
      <c r="W480" s="797"/>
      <c r="X480" s="797"/>
      <c r="Y480" s="797"/>
      <c r="Z480" s="797"/>
      <c r="AA480" s="797"/>
      <c r="AB480" s="798"/>
      <c r="AC480" s="799"/>
      <c r="AD480" s="800"/>
      <c r="AE480" s="800"/>
      <c r="AF480" s="801"/>
      <c r="AG480" s="466"/>
      <c r="AH480" s="467"/>
      <c r="AI480" s="467"/>
      <c r="AJ480" s="468"/>
      <c r="AK480" s="737"/>
      <c r="AL480" s="738"/>
      <c r="AM480" s="738"/>
      <c r="AN480" s="739"/>
      <c r="AO480" s="740"/>
      <c r="AP480" s="741"/>
      <c r="AQ480" s="741"/>
      <c r="AR480" s="742"/>
    </row>
    <row r="481" spans="3:44" ht="18" customHeight="1">
      <c r="C481" s="758"/>
      <c r="D481" s="759"/>
      <c r="E481" s="760"/>
      <c r="F481" s="796"/>
      <c r="G481" s="797"/>
      <c r="H481" s="797"/>
      <c r="I481" s="797"/>
      <c r="J481" s="797"/>
      <c r="K481" s="797"/>
      <c r="L481" s="797"/>
      <c r="M481" s="797"/>
      <c r="N481" s="797"/>
      <c r="O481" s="797"/>
      <c r="P481" s="797"/>
      <c r="Q481" s="797"/>
      <c r="R481" s="797"/>
      <c r="S481" s="797"/>
      <c r="T481" s="797"/>
      <c r="U481" s="797"/>
      <c r="V481" s="797"/>
      <c r="W481" s="797"/>
      <c r="X481" s="797"/>
      <c r="Y481" s="797"/>
      <c r="Z481" s="797"/>
      <c r="AA481" s="797"/>
      <c r="AB481" s="798"/>
      <c r="AC481" s="799"/>
      <c r="AD481" s="800"/>
      <c r="AE481" s="800"/>
      <c r="AF481" s="801"/>
      <c r="AG481" s="466"/>
      <c r="AH481" s="467"/>
      <c r="AI481" s="467"/>
      <c r="AJ481" s="468"/>
      <c r="AK481" s="737"/>
      <c r="AL481" s="738"/>
      <c r="AM481" s="738"/>
      <c r="AN481" s="739"/>
      <c r="AO481" s="740"/>
      <c r="AP481" s="741"/>
      <c r="AQ481" s="741"/>
      <c r="AR481" s="742"/>
    </row>
    <row r="482" spans="3:44" ht="18" customHeight="1">
      <c r="C482" s="758"/>
      <c r="D482" s="759"/>
      <c r="E482" s="760"/>
      <c r="F482" s="796"/>
      <c r="G482" s="797"/>
      <c r="H482" s="797"/>
      <c r="I482" s="797"/>
      <c r="J482" s="797"/>
      <c r="K482" s="797"/>
      <c r="L482" s="797"/>
      <c r="M482" s="797"/>
      <c r="N482" s="797"/>
      <c r="O482" s="797"/>
      <c r="P482" s="797"/>
      <c r="Q482" s="797"/>
      <c r="R482" s="797"/>
      <c r="S482" s="797"/>
      <c r="T482" s="797"/>
      <c r="U482" s="797"/>
      <c r="V482" s="797"/>
      <c r="W482" s="797"/>
      <c r="X482" s="797"/>
      <c r="Y482" s="797"/>
      <c r="Z482" s="797"/>
      <c r="AA482" s="797"/>
      <c r="AB482" s="798"/>
      <c r="AC482" s="799"/>
      <c r="AD482" s="800"/>
      <c r="AE482" s="800"/>
      <c r="AF482" s="801"/>
      <c r="AG482" s="466"/>
      <c r="AH482" s="467"/>
      <c r="AI482" s="467"/>
      <c r="AJ482" s="468"/>
      <c r="AK482" s="737"/>
      <c r="AL482" s="738"/>
      <c r="AM482" s="738"/>
      <c r="AN482" s="739"/>
      <c r="AO482" s="740"/>
      <c r="AP482" s="741"/>
      <c r="AQ482" s="741"/>
      <c r="AR482" s="742"/>
    </row>
    <row r="483" spans="3:44" ht="18" customHeight="1">
      <c r="C483" s="743"/>
      <c r="D483" s="744"/>
      <c r="E483" s="744"/>
      <c r="F483" s="744"/>
      <c r="G483" s="744"/>
      <c r="H483" s="744"/>
      <c r="I483" s="744"/>
      <c r="J483" s="744"/>
      <c r="K483" s="744"/>
      <c r="L483" s="744"/>
      <c r="M483" s="744"/>
      <c r="N483" s="744"/>
      <c r="O483" s="744"/>
      <c r="P483" s="744"/>
      <c r="Q483" s="744"/>
      <c r="R483" s="744"/>
      <c r="S483" s="744"/>
      <c r="T483" s="744"/>
      <c r="U483" s="744"/>
      <c r="V483" s="744"/>
      <c r="W483" s="744"/>
      <c r="X483" s="744"/>
      <c r="Y483" s="745" t="s">
        <v>88</v>
      </c>
      <c r="Z483" s="745"/>
      <c r="AA483" s="745"/>
      <c r="AB483" s="745"/>
      <c r="AC483" s="745"/>
      <c r="AD483" s="745"/>
      <c r="AE483" s="745"/>
      <c r="AF483" s="745"/>
      <c r="AG483" s="745"/>
      <c r="AH483" s="745"/>
      <c r="AI483" s="745"/>
      <c r="AJ483" s="745"/>
      <c r="AK483" s="745"/>
      <c r="AL483" s="745"/>
      <c r="AM483" s="745"/>
      <c r="AN483" s="430"/>
      <c r="AO483" s="477">
        <f>SUM(AO475:AR482)</f>
        <v>2336.88</v>
      </c>
      <c r="AP483" s="746"/>
      <c r="AQ483" s="746"/>
      <c r="AR483" s="747"/>
    </row>
    <row r="485" spans="3:44" ht="18" customHeight="1">
      <c r="C485" s="794" t="s">
        <v>43</v>
      </c>
      <c r="D485" s="774"/>
      <c r="E485" s="775"/>
      <c r="F485" s="773" t="s">
        <v>89</v>
      </c>
      <c r="G485" s="774"/>
      <c r="H485" s="774"/>
      <c r="I485" s="774"/>
      <c r="J485" s="774"/>
      <c r="K485" s="774"/>
      <c r="L485" s="774"/>
      <c r="M485" s="774"/>
      <c r="N485" s="774"/>
      <c r="O485" s="774"/>
      <c r="P485" s="774"/>
      <c r="Q485" s="774"/>
      <c r="R485" s="775"/>
      <c r="S485" s="773" t="s">
        <v>90</v>
      </c>
      <c r="T485" s="774"/>
      <c r="U485" s="775"/>
      <c r="V485" s="773" t="s">
        <v>91</v>
      </c>
      <c r="W485" s="774"/>
      <c r="X485" s="775"/>
      <c r="Y485" s="773" t="s">
        <v>92</v>
      </c>
      <c r="Z485" s="774"/>
      <c r="AA485" s="774"/>
      <c r="AB485" s="774"/>
      <c r="AC485" s="774"/>
      <c r="AD485" s="775"/>
      <c r="AE485" s="773" t="s">
        <v>93</v>
      </c>
      <c r="AF485" s="774"/>
      <c r="AG485" s="775"/>
      <c r="AH485" s="773" t="s">
        <v>94</v>
      </c>
      <c r="AI485" s="774"/>
      <c r="AJ485" s="775"/>
      <c r="AK485" s="773" t="s">
        <v>86</v>
      </c>
      <c r="AL485" s="774"/>
      <c r="AM485" s="774"/>
      <c r="AN485" s="775"/>
      <c r="AO485" s="773" t="s">
        <v>87</v>
      </c>
      <c r="AP485" s="774"/>
      <c r="AQ485" s="774"/>
      <c r="AR485" s="779"/>
    </row>
    <row r="486" spans="3:44" ht="18" customHeight="1">
      <c r="C486" s="795"/>
      <c r="D486" s="777"/>
      <c r="E486" s="778"/>
      <c r="F486" s="776"/>
      <c r="G486" s="777"/>
      <c r="H486" s="777"/>
      <c r="I486" s="777"/>
      <c r="J486" s="777"/>
      <c r="K486" s="777"/>
      <c r="L486" s="777"/>
      <c r="M486" s="777"/>
      <c r="N486" s="777"/>
      <c r="O486" s="777"/>
      <c r="P486" s="777"/>
      <c r="Q486" s="777"/>
      <c r="R486" s="778"/>
      <c r="S486" s="776"/>
      <c r="T486" s="777"/>
      <c r="U486" s="778"/>
      <c r="V486" s="776"/>
      <c r="W486" s="777"/>
      <c r="X486" s="778"/>
      <c r="Y486" s="776"/>
      <c r="Z486" s="777"/>
      <c r="AA486" s="777"/>
      <c r="AB486" s="777"/>
      <c r="AC486" s="777"/>
      <c r="AD486" s="778"/>
      <c r="AE486" s="776"/>
      <c r="AF486" s="777"/>
      <c r="AG486" s="778"/>
      <c r="AH486" s="776"/>
      <c r="AI486" s="777"/>
      <c r="AJ486" s="778"/>
      <c r="AK486" s="776"/>
      <c r="AL486" s="777"/>
      <c r="AM486" s="777"/>
      <c r="AN486" s="778"/>
      <c r="AO486" s="776"/>
      <c r="AP486" s="777"/>
      <c r="AQ486" s="777"/>
      <c r="AR486" s="780"/>
    </row>
    <row r="487" spans="3:44" ht="18" customHeight="1">
      <c r="C487" s="781"/>
      <c r="D487" s="782"/>
      <c r="E487" s="783"/>
      <c r="F487" s="457"/>
      <c r="G487" s="457"/>
      <c r="H487" s="457"/>
      <c r="I487" s="457"/>
      <c r="J487" s="457"/>
      <c r="K487" s="457"/>
      <c r="L487" s="457"/>
      <c r="M487" s="457"/>
      <c r="N487" s="457"/>
      <c r="O487" s="457"/>
      <c r="P487" s="457"/>
      <c r="Q487" s="457"/>
      <c r="R487" s="457"/>
      <c r="S487" s="784"/>
      <c r="T487" s="785"/>
      <c r="U487" s="786"/>
      <c r="V487" s="784"/>
      <c r="W487" s="785"/>
      <c r="X487" s="786"/>
      <c r="Y487" s="787"/>
      <c r="Z487" s="788"/>
      <c r="AA487" s="788"/>
      <c r="AB487" s="788"/>
      <c r="AC487" s="788"/>
      <c r="AD487" s="789"/>
      <c r="AE487" s="449"/>
      <c r="AF487" s="449"/>
      <c r="AG487" s="449"/>
      <c r="AH487" s="770"/>
      <c r="AI487" s="771"/>
      <c r="AJ487" s="790"/>
      <c r="AK487" s="791"/>
      <c r="AL487" s="792"/>
      <c r="AM487" s="792"/>
      <c r="AN487" s="793"/>
      <c r="AO487" s="770"/>
      <c r="AP487" s="771"/>
      <c r="AQ487" s="771"/>
      <c r="AR487" s="772"/>
    </row>
    <row r="488" spans="3:44" ht="18" customHeight="1">
      <c r="C488" s="758"/>
      <c r="D488" s="759"/>
      <c r="E488" s="760"/>
      <c r="F488" s="761"/>
      <c r="G488" s="762"/>
      <c r="H488" s="762"/>
      <c r="I488" s="762"/>
      <c r="J488" s="762"/>
      <c r="K488" s="762"/>
      <c r="L488" s="762"/>
      <c r="M488" s="762"/>
      <c r="N488" s="762"/>
      <c r="O488" s="762"/>
      <c r="P488" s="762"/>
      <c r="Q488" s="762"/>
      <c r="R488" s="763"/>
      <c r="S488" s="764"/>
      <c r="T488" s="765"/>
      <c r="U488" s="766"/>
      <c r="V488" s="764"/>
      <c r="W488" s="765"/>
      <c r="X488" s="766"/>
      <c r="Y488" s="767"/>
      <c r="Z488" s="768"/>
      <c r="AA488" s="768"/>
      <c r="AB488" s="768"/>
      <c r="AC488" s="768"/>
      <c r="AD488" s="769"/>
      <c r="AE488" s="740"/>
      <c r="AF488" s="741"/>
      <c r="AG488" s="757"/>
      <c r="AH488" s="740"/>
      <c r="AI488" s="741"/>
      <c r="AJ488" s="757"/>
      <c r="AK488" s="737"/>
      <c r="AL488" s="738"/>
      <c r="AM488" s="738"/>
      <c r="AN488" s="739"/>
      <c r="AO488" s="740">
        <f t="shared" ref="AO488:AO494" si="7">ROUND(AE488*AH488*AK488,2)</f>
        <v>0</v>
      </c>
      <c r="AP488" s="741"/>
      <c r="AQ488" s="741"/>
      <c r="AR488" s="742"/>
    </row>
    <row r="489" spans="3:44" ht="18" customHeight="1">
      <c r="C489" s="758"/>
      <c r="D489" s="759"/>
      <c r="E489" s="760"/>
      <c r="F489" s="761"/>
      <c r="G489" s="762"/>
      <c r="H489" s="762"/>
      <c r="I489" s="762"/>
      <c r="J489" s="762"/>
      <c r="K489" s="762"/>
      <c r="L489" s="762"/>
      <c r="M489" s="762"/>
      <c r="N489" s="762"/>
      <c r="O489" s="762"/>
      <c r="P489" s="762"/>
      <c r="Q489" s="762"/>
      <c r="R489" s="763"/>
      <c r="S489" s="764"/>
      <c r="T489" s="765"/>
      <c r="U489" s="766"/>
      <c r="V489" s="764"/>
      <c r="W489" s="765"/>
      <c r="X489" s="766"/>
      <c r="Y489" s="767"/>
      <c r="Z489" s="768"/>
      <c r="AA489" s="768"/>
      <c r="AB489" s="768"/>
      <c r="AC489" s="768"/>
      <c r="AD489" s="769"/>
      <c r="AE489" s="740"/>
      <c r="AF489" s="741"/>
      <c r="AG489" s="757"/>
      <c r="AH489" s="740"/>
      <c r="AI489" s="741"/>
      <c r="AJ489" s="757"/>
      <c r="AK489" s="737"/>
      <c r="AL489" s="738"/>
      <c r="AM489" s="738"/>
      <c r="AN489" s="739"/>
      <c r="AO489" s="740">
        <f t="shared" si="7"/>
        <v>0</v>
      </c>
      <c r="AP489" s="741"/>
      <c r="AQ489" s="741"/>
      <c r="AR489" s="742"/>
    </row>
    <row r="490" spans="3:44" ht="18" customHeight="1">
      <c r="C490" s="758"/>
      <c r="D490" s="759"/>
      <c r="E490" s="760"/>
      <c r="F490" s="761"/>
      <c r="G490" s="762"/>
      <c r="H490" s="762"/>
      <c r="I490" s="762"/>
      <c r="J490" s="762"/>
      <c r="K490" s="762"/>
      <c r="L490" s="762"/>
      <c r="M490" s="762"/>
      <c r="N490" s="762"/>
      <c r="O490" s="762"/>
      <c r="P490" s="762"/>
      <c r="Q490" s="762"/>
      <c r="R490" s="763"/>
      <c r="S490" s="764"/>
      <c r="T490" s="765"/>
      <c r="U490" s="766"/>
      <c r="V490" s="764"/>
      <c r="W490" s="765"/>
      <c r="X490" s="766"/>
      <c r="Y490" s="767"/>
      <c r="Z490" s="768"/>
      <c r="AA490" s="768"/>
      <c r="AB490" s="768"/>
      <c r="AC490" s="768"/>
      <c r="AD490" s="769"/>
      <c r="AE490" s="740"/>
      <c r="AF490" s="741"/>
      <c r="AG490" s="757"/>
      <c r="AH490" s="740"/>
      <c r="AI490" s="741"/>
      <c r="AJ490" s="757"/>
      <c r="AK490" s="737"/>
      <c r="AL490" s="738"/>
      <c r="AM490" s="738"/>
      <c r="AN490" s="739"/>
      <c r="AO490" s="740">
        <f t="shared" si="7"/>
        <v>0</v>
      </c>
      <c r="AP490" s="741"/>
      <c r="AQ490" s="741"/>
      <c r="AR490" s="742"/>
    </row>
    <row r="491" spans="3:44" ht="18" customHeight="1">
      <c r="C491" s="758"/>
      <c r="D491" s="759"/>
      <c r="E491" s="760"/>
      <c r="F491" s="761"/>
      <c r="G491" s="762"/>
      <c r="H491" s="762"/>
      <c r="I491" s="762"/>
      <c r="J491" s="762"/>
      <c r="K491" s="762"/>
      <c r="L491" s="762"/>
      <c r="M491" s="762"/>
      <c r="N491" s="762"/>
      <c r="O491" s="762"/>
      <c r="P491" s="762"/>
      <c r="Q491" s="762"/>
      <c r="R491" s="763"/>
      <c r="S491" s="764"/>
      <c r="T491" s="765"/>
      <c r="U491" s="766"/>
      <c r="V491" s="764"/>
      <c r="W491" s="765"/>
      <c r="X491" s="766"/>
      <c r="Y491" s="767"/>
      <c r="Z491" s="768"/>
      <c r="AA491" s="768"/>
      <c r="AB491" s="768"/>
      <c r="AC491" s="768"/>
      <c r="AD491" s="769"/>
      <c r="AE491" s="740"/>
      <c r="AF491" s="741"/>
      <c r="AG491" s="757"/>
      <c r="AH491" s="740"/>
      <c r="AI491" s="741"/>
      <c r="AJ491" s="757"/>
      <c r="AK491" s="737"/>
      <c r="AL491" s="738"/>
      <c r="AM491" s="738"/>
      <c r="AN491" s="739"/>
      <c r="AO491" s="740">
        <f t="shared" si="7"/>
        <v>0</v>
      </c>
      <c r="AP491" s="741"/>
      <c r="AQ491" s="741"/>
      <c r="AR491" s="742"/>
    </row>
    <row r="492" spans="3:44" ht="18" customHeight="1">
      <c r="C492" s="758"/>
      <c r="D492" s="759"/>
      <c r="E492" s="760"/>
      <c r="F492" s="761"/>
      <c r="G492" s="762"/>
      <c r="H492" s="762"/>
      <c r="I492" s="762"/>
      <c r="J492" s="762"/>
      <c r="K492" s="762"/>
      <c r="L492" s="762"/>
      <c r="M492" s="762"/>
      <c r="N492" s="762"/>
      <c r="O492" s="762"/>
      <c r="P492" s="762"/>
      <c r="Q492" s="762"/>
      <c r="R492" s="763"/>
      <c r="S492" s="764"/>
      <c r="T492" s="765"/>
      <c r="U492" s="766"/>
      <c r="V492" s="764"/>
      <c r="W492" s="765"/>
      <c r="X492" s="766"/>
      <c r="Y492" s="767"/>
      <c r="Z492" s="768"/>
      <c r="AA492" s="768"/>
      <c r="AB492" s="768"/>
      <c r="AC492" s="768"/>
      <c r="AD492" s="769"/>
      <c r="AE492" s="740"/>
      <c r="AF492" s="741"/>
      <c r="AG492" s="757"/>
      <c r="AH492" s="740"/>
      <c r="AI492" s="741"/>
      <c r="AJ492" s="757"/>
      <c r="AK492" s="737"/>
      <c r="AL492" s="738"/>
      <c r="AM492" s="738"/>
      <c r="AN492" s="739"/>
      <c r="AO492" s="740">
        <f t="shared" si="7"/>
        <v>0</v>
      </c>
      <c r="AP492" s="741"/>
      <c r="AQ492" s="741"/>
      <c r="AR492" s="742"/>
    </row>
    <row r="493" spans="3:44" ht="18" customHeight="1">
      <c r="C493" s="758"/>
      <c r="D493" s="759"/>
      <c r="E493" s="760"/>
      <c r="F493" s="761"/>
      <c r="G493" s="762"/>
      <c r="H493" s="762"/>
      <c r="I493" s="762"/>
      <c r="J493" s="762"/>
      <c r="K493" s="762"/>
      <c r="L493" s="762"/>
      <c r="M493" s="762"/>
      <c r="N493" s="762"/>
      <c r="O493" s="762"/>
      <c r="P493" s="762"/>
      <c r="Q493" s="762"/>
      <c r="R493" s="763"/>
      <c r="S493" s="764"/>
      <c r="T493" s="765"/>
      <c r="U493" s="766"/>
      <c r="V493" s="764"/>
      <c r="W493" s="765"/>
      <c r="X493" s="766"/>
      <c r="Y493" s="767"/>
      <c r="Z493" s="768"/>
      <c r="AA493" s="768"/>
      <c r="AB493" s="768"/>
      <c r="AC493" s="768"/>
      <c r="AD493" s="769"/>
      <c r="AE493" s="740"/>
      <c r="AF493" s="741"/>
      <c r="AG493" s="757"/>
      <c r="AH493" s="740"/>
      <c r="AI493" s="741"/>
      <c r="AJ493" s="757"/>
      <c r="AK493" s="737"/>
      <c r="AL493" s="738"/>
      <c r="AM493" s="738"/>
      <c r="AN493" s="739"/>
      <c r="AO493" s="740">
        <f t="shared" si="7"/>
        <v>0</v>
      </c>
      <c r="AP493" s="741"/>
      <c r="AQ493" s="741"/>
      <c r="AR493" s="742"/>
    </row>
    <row r="494" spans="3:44" ht="18" customHeight="1">
      <c r="C494" s="758"/>
      <c r="D494" s="759"/>
      <c r="E494" s="760"/>
      <c r="F494" s="761"/>
      <c r="G494" s="762"/>
      <c r="H494" s="762"/>
      <c r="I494" s="762"/>
      <c r="J494" s="762"/>
      <c r="K494" s="762"/>
      <c r="L494" s="762"/>
      <c r="M494" s="762"/>
      <c r="N494" s="762"/>
      <c r="O494" s="762"/>
      <c r="P494" s="762"/>
      <c r="Q494" s="762"/>
      <c r="R494" s="763"/>
      <c r="S494" s="764"/>
      <c r="T494" s="765"/>
      <c r="U494" s="766"/>
      <c r="V494" s="764"/>
      <c r="W494" s="765"/>
      <c r="X494" s="766"/>
      <c r="Y494" s="767"/>
      <c r="Z494" s="768"/>
      <c r="AA494" s="768"/>
      <c r="AB494" s="768"/>
      <c r="AC494" s="768"/>
      <c r="AD494" s="769"/>
      <c r="AE494" s="740"/>
      <c r="AF494" s="741"/>
      <c r="AG494" s="757"/>
      <c r="AH494" s="740"/>
      <c r="AI494" s="741"/>
      <c r="AJ494" s="757"/>
      <c r="AK494" s="737"/>
      <c r="AL494" s="738"/>
      <c r="AM494" s="738"/>
      <c r="AN494" s="739"/>
      <c r="AO494" s="740">
        <f t="shared" si="7"/>
        <v>0</v>
      </c>
      <c r="AP494" s="741"/>
      <c r="AQ494" s="741"/>
      <c r="AR494" s="742"/>
    </row>
    <row r="495" spans="3:44" ht="18" customHeight="1">
      <c r="C495" s="743"/>
      <c r="D495" s="744"/>
      <c r="E495" s="744"/>
      <c r="F495" s="744"/>
      <c r="G495" s="744"/>
      <c r="H495" s="744"/>
      <c r="I495" s="744"/>
      <c r="J495" s="744"/>
      <c r="K495" s="744"/>
      <c r="L495" s="744"/>
      <c r="M495" s="744"/>
      <c r="N495" s="744"/>
      <c r="O495" s="744"/>
      <c r="P495" s="744"/>
      <c r="Q495" s="744"/>
      <c r="R495" s="744"/>
      <c r="S495" s="744"/>
      <c r="T495" s="744"/>
      <c r="U495" s="744"/>
      <c r="V495" s="744"/>
      <c r="W495" s="744"/>
      <c r="X495" s="744"/>
      <c r="Y495" s="745" t="s">
        <v>95</v>
      </c>
      <c r="Z495" s="745"/>
      <c r="AA495" s="745"/>
      <c r="AB495" s="745"/>
      <c r="AC495" s="745"/>
      <c r="AD495" s="745"/>
      <c r="AE495" s="745"/>
      <c r="AF495" s="745"/>
      <c r="AG495" s="745"/>
      <c r="AH495" s="745"/>
      <c r="AI495" s="745"/>
      <c r="AJ495" s="745"/>
      <c r="AK495" s="745"/>
      <c r="AL495" s="745"/>
      <c r="AM495" s="745"/>
      <c r="AN495" s="430"/>
      <c r="AO495" s="477">
        <f>SUM(AO487:AR494)</f>
        <v>0</v>
      </c>
      <c r="AP495" s="746"/>
      <c r="AQ495" s="746"/>
      <c r="AR495" s="747"/>
    </row>
    <row r="497" spans="1:44" ht="18" customHeight="1">
      <c r="C497" s="434"/>
      <c r="D497" s="434"/>
      <c r="E497" s="434"/>
      <c r="F497" s="434"/>
      <c r="G497" s="434"/>
      <c r="H497" s="434"/>
      <c r="I497" s="434"/>
      <c r="J497" s="434"/>
      <c r="K497" s="434"/>
      <c r="L497" s="434"/>
      <c r="M497" s="434"/>
      <c r="N497" s="434"/>
      <c r="O497" s="434"/>
      <c r="P497" s="434"/>
      <c r="Q497" s="434"/>
      <c r="R497" s="434"/>
      <c r="S497" s="434"/>
      <c r="T497" s="434"/>
      <c r="U497" s="434"/>
      <c r="V497" s="434"/>
      <c r="W497" s="434"/>
      <c r="X497" s="748"/>
      <c r="Y497" s="749" t="s">
        <v>96</v>
      </c>
      <c r="Z497" s="750"/>
      <c r="AA497" s="750"/>
      <c r="AB497" s="750"/>
      <c r="AC497" s="750"/>
      <c r="AD497" s="750"/>
      <c r="AE497" s="750"/>
      <c r="AF497" s="750"/>
      <c r="AG497" s="750"/>
      <c r="AH497" s="750"/>
      <c r="AI497" s="750"/>
      <c r="AJ497" s="750"/>
      <c r="AK497" s="750"/>
      <c r="AL497" s="750"/>
      <c r="AM497" s="750"/>
      <c r="AN497" s="751"/>
      <c r="AO497" s="752">
        <f>AO471+AO483+AO495</f>
        <v>2419.9700000000003</v>
      </c>
      <c r="AP497" s="753"/>
      <c r="AQ497" s="753"/>
      <c r="AR497" s="754"/>
    </row>
    <row r="498" spans="1:44" ht="18" customHeight="1">
      <c r="C498" s="434"/>
      <c r="D498" s="434"/>
      <c r="E498" s="434"/>
      <c r="F498" s="434"/>
      <c r="G498" s="434"/>
      <c r="H498" s="434"/>
      <c r="I498" s="434"/>
      <c r="J498" s="434"/>
      <c r="K498" s="434"/>
      <c r="L498" s="434"/>
      <c r="M498" s="434"/>
      <c r="N498" s="434"/>
      <c r="O498" s="434"/>
      <c r="P498" s="434"/>
      <c r="Q498" s="434"/>
      <c r="R498" s="434"/>
      <c r="S498" s="434"/>
      <c r="T498" s="434"/>
      <c r="U498" s="434"/>
      <c r="V498" s="434"/>
      <c r="W498" s="434"/>
      <c r="X498" s="748"/>
      <c r="Y498" s="755" t="s">
        <v>97</v>
      </c>
      <c r="Z498" s="756"/>
      <c r="AA498" s="756"/>
      <c r="AB498" s="756"/>
      <c r="AC498" s="756"/>
      <c r="AD498" s="756"/>
      <c r="AE498" s="756"/>
      <c r="AF498" s="756"/>
      <c r="AG498" s="756"/>
      <c r="AH498" s="442">
        <v>0.2031</v>
      </c>
      <c r="AI498" s="442"/>
      <c r="AJ498" s="442"/>
      <c r="AK498" s="442"/>
      <c r="AL498" s="442"/>
      <c r="AM498" s="442"/>
      <c r="AN498" s="443"/>
      <c r="AO498" s="728">
        <f>ROUND(AO497*AH498,2)</f>
        <v>491.5</v>
      </c>
      <c r="AP498" s="729"/>
      <c r="AQ498" s="729"/>
      <c r="AR498" s="730"/>
    </row>
    <row r="499" spans="1:44" ht="18" customHeight="1">
      <c r="A499" s="415" t="s">
        <v>433</v>
      </c>
      <c r="B499" s="415"/>
      <c r="C499" s="434"/>
      <c r="D499" s="434"/>
      <c r="E499" s="434"/>
      <c r="F499" s="434"/>
      <c r="G499" s="434"/>
      <c r="H499" s="434"/>
      <c r="I499" s="434"/>
      <c r="J499" s="434"/>
      <c r="K499" s="434"/>
      <c r="L499" s="434"/>
      <c r="M499" s="434"/>
      <c r="N499" s="434"/>
      <c r="O499" s="434"/>
      <c r="P499" s="434"/>
      <c r="Q499" s="434"/>
      <c r="R499" s="434"/>
      <c r="S499" s="434"/>
      <c r="T499" s="434"/>
      <c r="U499" s="434"/>
      <c r="V499" s="434"/>
      <c r="W499" s="434"/>
      <c r="X499" s="748"/>
      <c r="Y499" s="731" t="s">
        <v>98</v>
      </c>
      <c r="Z499" s="732"/>
      <c r="AA499" s="732"/>
      <c r="AB499" s="732"/>
      <c r="AC499" s="732"/>
      <c r="AD499" s="732"/>
      <c r="AE499" s="732"/>
      <c r="AF499" s="732"/>
      <c r="AG499" s="732"/>
      <c r="AH499" s="732"/>
      <c r="AI499" s="732"/>
      <c r="AJ499" s="732"/>
      <c r="AK499" s="732"/>
      <c r="AL499" s="732"/>
      <c r="AM499" s="732"/>
      <c r="AN499" s="733"/>
      <c r="AO499" s="734">
        <f>SUM(AO497:AR498)</f>
        <v>2911.4700000000003</v>
      </c>
      <c r="AP499" s="735"/>
      <c r="AQ499" s="735"/>
      <c r="AR499" s="736"/>
    </row>
    <row r="501" spans="1:44" ht="18" customHeight="1">
      <c r="C501" s="420" t="s">
        <v>99</v>
      </c>
      <c r="D501" s="421"/>
      <c r="E501" s="421"/>
      <c r="F501" s="421"/>
      <c r="G501" s="421"/>
      <c r="H501" s="421"/>
      <c r="I501" s="422"/>
      <c r="J501" s="422"/>
      <c r="K501" s="422"/>
      <c r="L501" s="422"/>
      <c r="M501" s="422"/>
      <c r="N501" s="422"/>
      <c r="O501" s="422"/>
      <c r="P501" s="422"/>
      <c r="Q501" s="422"/>
      <c r="R501" s="422"/>
      <c r="S501" s="422"/>
      <c r="T501" s="422"/>
      <c r="U501" s="422"/>
      <c r="V501" s="422"/>
      <c r="W501" s="422"/>
      <c r="X501" s="422"/>
      <c r="Y501" s="422"/>
      <c r="Z501" s="422"/>
      <c r="AA501" s="422"/>
      <c r="AB501" s="422"/>
      <c r="AC501" s="422"/>
      <c r="AD501" s="422"/>
      <c r="AE501" s="422"/>
      <c r="AF501" s="422"/>
      <c r="AG501" s="422"/>
      <c r="AH501" s="422"/>
      <c r="AI501" s="422"/>
      <c r="AJ501" s="422"/>
      <c r="AK501" s="422"/>
      <c r="AL501" s="422"/>
      <c r="AM501" s="422"/>
      <c r="AN501" s="422"/>
      <c r="AO501" s="422"/>
      <c r="AP501" s="422"/>
      <c r="AQ501" s="422"/>
      <c r="AR501" s="423"/>
    </row>
    <row r="502" spans="1:44" ht="18" customHeight="1">
      <c r="C502" s="411"/>
      <c r="D502" s="412"/>
      <c r="E502" s="412"/>
      <c r="F502" s="412"/>
      <c r="G502" s="412"/>
      <c r="H502" s="412"/>
      <c r="I502" s="409"/>
      <c r="J502" s="409"/>
      <c r="K502" s="409"/>
      <c r="L502" s="409"/>
      <c r="M502" s="409"/>
      <c r="N502" s="409"/>
      <c r="O502" s="409"/>
      <c r="P502" s="409"/>
      <c r="Q502" s="409"/>
      <c r="R502" s="409"/>
      <c r="S502" s="409"/>
      <c r="T502" s="409"/>
      <c r="U502" s="409"/>
      <c r="V502" s="409"/>
      <c r="W502" s="409"/>
      <c r="X502" s="409"/>
      <c r="Y502" s="409"/>
      <c r="Z502" s="409"/>
      <c r="AA502" s="409"/>
      <c r="AB502" s="409"/>
      <c r="AC502" s="409"/>
      <c r="AD502" s="409"/>
      <c r="AE502" s="409"/>
      <c r="AF502" s="409"/>
      <c r="AG502" s="409"/>
      <c r="AH502" s="409"/>
      <c r="AI502" s="409"/>
      <c r="AJ502" s="409"/>
      <c r="AK502" s="409"/>
      <c r="AL502" s="409"/>
      <c r="AM502" s="409"/>
      <c r="AN502" s="409"/>
      <c r="AO502" s="409"/>
      <c r="AP502" s="409"/>
      <c r="AQ502" s="409"/>
      <c r="AR502" s="410"/>
    </row>
    <row r="503" spans="1:44" ht="18" customHeight="1">
      <c r="C503" s="411"/>
      <c r="D503" s="412"/>
      <c r="E503" s="412"/>
      <c r="F503" s="412"/>
      <c r="G503" s="412"/>
      <c r="H503" s="412"/>
      <c r="I503" s="409"/>
      <c r="J503" s="409"/>
      <c r="K503" s="409"/>
      <c r="L503" s="409"/>
      <c r="M503" s="409"/>
      <c r="N503" s="409"/>
      <c r="O503" s="409"/>
      <c r="P503" s="409"/>
      <c r="Q503" s="409"/>
      <c r="R503" s="409"/>
      <c r="S503" s="409"/>
      <c r="T503" s="409"/>
      <c r="U503" s="409"/>
      <c r="V503" s="409"/>
      <c r="W503" s="409"/>
      <c r="X503" s="409"/>
      <c r="Y503" s="409"/>
      <c r="Z503" s="409"/>
      <c r="AA503" s="409"/>
      <c r="AB503" s="409"/>
      <c r="AC503" s="409"/>
      <c r="AD503" s="409"/>
      <c r="AE503" s="409"/>
      <c r="AF503" s="409"/>
      <c r="AG503" s="409"/>
      <c r="AH503" s="409"/>
      <c r="AI503" s="409"/>
      <c r="AJ503" s="409"/>
      <c r="AK503" s="409"/>
      <c r="AL503" s="409"/>
      <c r="AM503" s="409"/>
      <c r="AN503" s="409"/>
      <c r="AO503" s="409"/>
      <c r="AP503" s="409"/>
      <c r="AQ503" s="409"/>
      <c r="AR503" s="410"/>
    </row>
    <row r="504" spans="1:44" ht="18" customHeight="1">
      <c r="C504" s="411"/>
      <c r="D504" s="412"/>
      <c r="E504" s="412"/>
      <c r="F504" s="412"/>
      <c r="G504" s="412"/>
      <c r="H504" s="412"/>
      <c r="I504" s="409"/>
      <c r="J504" s="409"/>
      <c r="K504" s="409"/>
      <c r="L504" s="409"/>
      <c r="M504" s="409"/>
      <c r="N504" s="409"/>
      <c r="O504" s="409"/>
      <c r="P504" s="409"/>
      <c r="Q504" s="409"/>
      <c r="R504" s="409"/>
      <c r="S504" s="409"/>
      <c r="T504" s="409"/>
      <c r="U504" s="409"/>
      <c r="V504" s="409"/>
      <c r="W504" s="409"/>
      <c r="X504" s="409"/>
      <c r="Y504" s="409"/>
      <c r="Z504" s="409"/>
      <c r="AA504" s="409"/>
      <c r="AB504" s="409"/>
      <c r="AC504" s="409"/>
      <c r="AD504" s="409"/>
      <c r="AE504" s="409"/>
      <c r="AF504" s="409"/>
      <c r="AG504" s="409"/>
      <c r="AH504" s="409"/>
      <c r="AI504" s="409"/>
      <c r="AJ504" s="409"/>
      <c r="AK504" s="409"/>
      <c r="AL504" s="409"/>
      <c r="AM504" s="409"/>
      <c r="AN504" s="409"/>
      <c r="AO504" s="409"/>
      <c r="AP504" s="409"/>
      <c r="AQ504" s="409"/>
      <c r="AR504" s="410"/>
    </row>
    <row r="505" spans="1:44" ht="18" customHeight="1">
      <c r="C505" s="411"/>
      <c r="D505" s="412"/>
      <c r="E505" s="412"/>
      <c r="F505" s="412"/>
      <c r="G505" s="412"/>
      <c r="H505" s="412"/>
      <c r="I505" s="409"/>
      <c r="J505" s="409"/>
      <c r="K505" s="409"/>
      <c r="L505" s="409"/>
      <c r="M505" s="409"/>
      <c r="N505" s="409"/>
      <c r="O505" s="409"/>
      <c r="P505" s="409"/>
      <c r="Q505" s="409"/>
      <c r="R505" s="409"/>
      <c r="S505" s="409"/>
      <c r="T505" s="409"/>
      <c r="U505" s="409"/>
      <c r="V505" s="409"/>
      <c r="W505" s="409"/>
      <c r="X505" s="409"/>
      <c r="Y505" s="409"/>
      <c r="Z505" s="409"/>
      <c r="AA505" s="409"/>
      <c r="AB505" s="409"/>
      <c r="AC505" s="409"/>
      <c r="AD505" s="409"/>
      <c r="AE505" s="409"/>
      <c r="AF505" s="409"/>
      <c r="AG505" s="409"/>
      <c r="AH505" s="409"/>
      <c r="AI505" s="409"/>
      <c r="AJ505" s="409"/>
      <c r="AK505" s="409"/>
      <c r="AL505" s="409"/>
      <c r="AM505" s="409"/>
      <c r="AN505" s="409"/>
      <c r="AO505" s="409"/>
      <c r="AP505" s="409"/>
      <c r="AQ505" s="409"/>
      <c r="AR505" s="410"/>
    </row>
    <row r="506" spans="1:44" ht="18" customHeight="1">
      <c r="C506" s="385"/>
      <c r="D506" s="386"/>
      <c r="E506" s="386"/>
      <c r="F506" s="386"/>
      <c r="G506" s="386"/>
      <c r="H506" s="386"/>
      <c r="I506" s="387"/>
      <c r="J506" s="387"/>
      <c r="K506" s="387"/>
      <c r="L506" s="387"/>
      <c r="M506" s="387"/>
      <c r="N506" s="387"/>
      <c r="O506" s="387"/>
      <c r="P506" s="387"/>
      <c r="Q506" s="387"/>
      <c r="R506" s="387"/>
      <c r="S506" s="387"/>
      <c r="T506" s="387"/>
      <c r="U506" s="387"/>
      <c r="V506" s="387"/>
      <c r="W506" s="387"/>
      <c r="X506" s="387"/>
      <c r="Y506" s="387"/>
      <c r="Z506" s="387"/>
      <c r="AA506" s="387"/>
      <c r="AB506" s="387"/>
      <c r="AC506" s="387"/>
      <c r="AD506" s="387"/>
      <c r="AE506" s="387"/>
      <c r="AF506" s="387"/>
      <c r="AG506" s="387"/>
      <c r="AH506" s="387"/>
      <c r="AI506" s="387"/>
      <c r="AJ506" s="387"/>
      <c r="AK506" s="387"/>
      <c r="AL506" s="387"/>
      <c r="AM506" s="387"/>
      <c r="AN506" s="387"/>
      <c r="AO506" s="387"/>
      <c r="AP506" s="387"/>
      <c r="AQ506" s="387"/>
      <c r="AR506" s="388"/>
    </row>
    <row r="508" spans="1:44" ht="18" customHeight="1">
      <c r="C508" s="389" t="s">
        <v>100</v>
      </c>
      <c r="D508" s="390"/>
      <c r="E508" s="390"/>
      <c r="F508" s="390"/>
      <c r="G508" s="390"/>
      <c r="H508" s="390"/>
      <c r="I508" s="390"/>
      <c r="J508" s="390"/>
      <c r="K508" s="390"/>
      <c r="L508" s="390"/>
      <c r="M508" s="390"/>
      <c r="N508" s="390"/>
      <c r="O508" s="390"/>
      <c r="P508" s="390"/>
      <c r="Q508" s="390"/>
      <c r="R508" s="390"/>
      <c r="S508" s="390"/>
      <c r="T508" s="390"/>
      <c r="U508" s="390"/>
      <c r="V508" s="390"/>
      <c r="W508" s="390"/>
      <c r="X508" s="390"/>
      <c r="Y508" s="390"/>
      <c r="Z508" s="390"/>
      <c r="AA508" s="391"/>
      <c r="AB508" s="392" t="str">
        <f>[4]C.UNIT.SERV.!$E$5</f>
        <v>DATA-BASE:      MAIO/2011/PR</v>
      </c>
      <c r="AC508" s="393"/>
      <c r="AD508" s="393"/>
      <c r="AE508" s="393"/>
      <c r="AF508" s="393"/>
      <c r="AG508" s="393"/>
      <c r="AH508" s="393"/>
      <c r="AI508" s="394"/>
      <c r="AJ508" s="392"/>
      <c r="AK508" s="393"/>
      <c r="AL508" s="393"/>
      <c r="AM508" s="393"/>
      <c r="AN508" s="393"/>
      <c r="AO508" s="393"/>
      <c r="AP508" s="393"/>
      <c r="AQ508" s="393"/>
      <c r="AR508" s="401"/>
    </row>
    <row r="509" spans="1:44" ht="18" customHeight="1">
      <c r="C509" s="404" t="s">
        <v>101</v>
      </c>
      <c r="D509" s="405"/>
      <c r="E509" s="405"/>
      <c r="F509" s="405"/>
      <c r="G509" s="405" t="s">
        <v>283</v>
      </c>
      <c r="H509" s="405"/>
      <c r="I509" s="405"/>
      <c r="J509" s="405"/>
      <c r="K509" s="405"/>
      <c r="L509" s="405"/>
      <c r="M509" s="405"/>
      <c r="N509" s="405"/>
      <c r="O509" s="405"/>
      <c r="P509" s="405"/>
      <c r="Q509" s="405"/>
      <c r="R509" s="405"/>
      <c r="S509" s="405"/>
      <c r="T509" s="405"/>
      <c r="U509" s="405"/>
      <c r="V509" s="405"/>
      <c r="W509" s="405"/>
      <c r="X509" s="405"/>
      <c r="Y509" s="405"/>
      <c r="Z509" s="405"/>
      <c r="AA509" s="406"/>
      <c r="AB509" s="395"/>
      <c r="AC509" s="396"/>
      <c r="AD509" s="396"/>
      <c r="AE509" s="396"/>
      <c r="AF509" s="396"/>
      <c r="AG509" s="396"/>
      <c r="AH509" s="396"/>
      <c r="AI509" s="397"/>
      <c r="AJ509" s="395"/>
      <c r="AK509" s="396"/>
      <c r="AL509" s="396"/>
      <c r="AM509" s="396"/>
      <c r="AN509" s="396"/>
      <c r="AO509" s="396"/>
      <c r="AP509" s="396"/>
      <c r="AQ509" s="396"/>
      <c r="AR509" s="402"/>
    </row>
    <row r="510" spans="1:44" ht="18" customHeight="1">
      <c r="C510" s="404" t="s">
        <v>102</v>
      </c>
      <c r="D510" s="405"/>
      <c r="E510" s="405"/>
      <c r="F510" s="405"/>
      <c r="G510" s="405"/>
      <c r="H510" s="405"/>
      <c r="I510" s="405"/>
      <c r="J510" s="405"/>
      <c r="K510" s="405"/>
      <c r="L510" s="405"/>
      <c r="M510" s="405"/>
      <c r="N510" s="405"/>
      <c r="O510" s="405"/>
      <c r="P510" s="405"/>
      <c r="Q510" s="405"/>
      <c r="R510" s="405"/>
      <c r="S510" s="405"/>
      <c r="T510" s="405"/>
      <c r="U510" s="405"/>
      <c r="V510" s="405"/>
      <c r="W510" s="405"/>
      <c r="X510" s="405"/>
      <c r="Y510" s="405"/>
      <c r="Z510" s="405"/>
      <c r="AA510" s="406"/>
      <c r="AB510" s="395"/>
      <c r="AC510" s="396"/>
      <c r="AD510" s="396"/>
      <c r="AE510" s="396"/>
      <c r="AF510" s="396"/>
      <c r="AG510" s="396"/>
      <c r="AH510" s="396"/>
      <c r="AI510" s="397"/>
      <c r="AJ510" s="395"/>
      <c r="AK510" s="396"/>
      <c r="AL510" s="396"/>
      <c r="AM510" s="396"/>
      <c r="AN510" s="396"/>
      <c r="AO510" s="396"/>
      <c r="AP510" s="396"/>
      <c r="AQ510" s="396"/>
      <c r="AR510" s="402"/>
    </row>
    <row r="511" spans="1:44" ht="18" customHeight="1">
      <c r="C511" s="407"/>
      <c r="D511" s="408"/>
      <c r="E511" s="408"/>
      <c r="F511" s="408"/>
      <c r="G511" s="408"/>
      <c r="H511" s="408"/>
      <c r="I511" s="408"/>
      <c r="J511" s="408"/>
      <c r="K511" s="408"/>
      <c r="L511" s="408"/>
      <c r="M511" s="408"/>
      <c r="N511" s="408"/>
      <c r="O511" s="408"/>
      <c r="P511" s="408"/>
      <c r="Q511" s="408"/>
      <c r="R511" s="408"/>
      <c r="S511" s="408"/>
      <c r="T511" s="408"/>
      <c r="U511" s="408"/>
      <c r="V511" s="408"/>
      <c r="W511" s="408"/>
      <c r="X511" s="408"/>
      <c r="Y511" s="408"/>
      <c r="Z511" s="408"/>
      <c r="AA511" s="408"/>
      <c r="AB511" s="398"/>
      <c r="AC511" s="399"/>
      <c r="AD511" s="399"/>
      <c r="AE511" s="399"/>
      <c r="AF511" s="399"/>
      <c r="AG511" s="399"/>
      <c r="AH511" s="399"/>
      <c r="AI511" s="400"/>
      <c r="AJ511" s="398"/>
      <c r="AK511" s="399"/>
      <c r="AL511" s="399"/>
      <c r="AM511" s="399"/>
      <c r="AN511" s="399"/>
      <c r="AO511" s="399"/>
      <c r="AP511" s="399"/>
      <c r="AQ511" s="399"/>
      <c r="AR511" s="403"/>
    </row>
    <row r="513" spans="3:44" ht="18" customHeight="1">
      <c r="C513" s="850" t="s">
        <v>64</v>
      </c>
      <c r="D513" s="851"/>
      <c r="E513" s="851"/>
      <c r="F513" s="851"/>
      <c r="G513" s="851"/>
      <c r="H513" s="851"/>
      <c r="I513" s="851"/>
      <c r="J513" s="851"/>
      <c r="K513" s="851"/>
      <c r="L513" s="851"/>
      <c r="M513" s="851"/>
      <c r="N513" s="851"/>
      <c r="O513" s="851"/>
      <c r="P513" s="851"/>
      <c r="Q513" s="851"/>
      <c r="R513" s="851"/>
      <c r="S513" s="851"/>
      <c r="T513" s="851"/>
      <c r="U513" s="851"/>
      <c r="V513" s="851"/>
      <c r="W513" s="851"/>
      <c r="X513" s="851"/>
      <c r="Y513" s="851"/>
      <c r="Z513" s="851"/>
      <c r="AA513" s="851"/>
      <c r="AB513" s="851"/>
      <c r="AC513" s="851"/>
      <c r="AD513" s="851"/>
      <c r="AE513" s="851"/>
      <c r="AF513" s="851"/>
      <c r="AG513" s="851"/>
      <c r="AH513" s="851"/>
      <c r="AI513" s="851"/>
      <c r="AJ513" s="851"/>
      <c r="AK513" s="851"/>
      <c r="AL513" s="851"/>
      <c r="AM513" s="851"/>
      <c r="AN513" s="851"/>
      <c r="AO513" s="851"/>
      <c r="AP513" s="851"/>
      <c r="AQ513" s="851"/>
      <c r="AR513" s="852"/>
    </row>
    <row r="514" spans="3:44" ht="18" customHeight="1">
      <c r="C514" s="853"/>
      <c r="D514" s="854"/>
      <c r="E514" s="854"/>
      <c r="F514" s="854"/>
      <c r="G514" s="854"/>
      <c r="H514" s="854"/>
      <c r="I514" s="854"/>
      <c r="J514" s="854"/>
      <c r="K514" s="854"/>
      <c r="L514" s="854"/>
      <c r="M514" s="854"/>
      <c r="N514" s="854"/>
      <c r="O514" s="854"/>
      <c r="P514" s="854"/>
      <c r="Q514" s="854"/>
      <c r="R514" s="854"/>
      <c r="S514" s="854"/>
      <c r="T514" s="854"/>
      <c r="U514" s="854"/>
      <c r="V514" s="854"/>
      <c r="W514" s="854"/>
      <c r="X514" s="854"/>
      <c r="Y514" s="854"/>
      <c r="Z514" s="854"/>
      <c r="AA514" s="854"/>
      <c r="AB514" s="854"/>
      <c r="AC514" s="854"/>
      <c r="AD514" s="854"/>
      <c r="AE514" s="854"/>
      <c r="AF514" s="854"/>
      <c r="AG514" s="854"/>
      <c r="AH514" s="854"/>
      <c r="AI514" s="854"/>
      <c r="AJ514" s="854"/>
      <c r="AK514" s="854"/>
      <c r="AL514" s="854"/>
      <c r="AM514" s="854"/>
      <c r="AN514" s="854"/>
      <c r="AO514" s="854"/>
      <c r="AP514" s="854"/>
      <c r="AQ514" s="854"/>
      <c r="AR514" s="855"/>
    </row>
    <row r="515" spans="3:44" ht="18" customHeight="1">
      <c r="C515" s="856" t="s">
        <v>65</v>
      </c>
      <c r="D515" s="857"/>
      <c r="E515" s="857"/>
      <c r="F515" s="857"/>
      <c r="G515" s="860" t="s">
        <v>428</v>
      </c>
      <c r="H515" s="860"/>
      <c r="I515" s="860"/>
      <c r="J515" s="861"/>
      <c r="K515" s="864" t="s">
        <v>66</v>
      </c>
      <c r="L515" s="865"/>
      <c r="M515" s="865"/>
      <c r="N515" s="865"/>
      <c r="O515" s="526" t="s">
        <v>619</v>
      </c>
      <c r="P515" s="526"/>
      <c r="Q515" s="526"/>
      <c r="R515" s="526"/>
      <c r="S515" s="526"/>
      <c r="T515" s="526"/>
      <c r="U515" s="526"/>
      <c r="V515" s="526"/>
      <c r="W515" s="526"/>
      <c r="X515" s="526"/>
      <c r="Y515" s="526"/>
      <c r="Z515" s="526"/>
      <c r="AA515" s="526"/>
      <c r="AB515" s="526"/>
      <c r="AC515" s="526"/>
      <c r="AD515" s="526"/>
      <c r="AE515" s="526"/>
      <c r="AF515" s="526"/>
      <c r="AG515" s="526"/>
      <c r="AH515" s="526"/>
      <c r="AI515" s="526"/>
      <c r="AJ515" s="526"/>
      <c r="AK515" s="527"/>
      <c r="AL515" s="864" t="s">
        <v>67</v>
      </c>
      <c r="AM515" s="865"/>
      <c r="AN515" s="865"/>
      <c r="AO515" s="865"/>
      <c r="AP515" s="843" t="s">
        <v>194</v>
      </c>
      <c r="AQ515" s="843"/>
      <c r="AR515" s="844"/>
    </row>
    <row r="516" spans="3:44" ht="18" customHeight="1">
      <c r="C516" s="858"/>
      <c r="D516" s="859"/>
      <c r="E516" s="859"/>
      <c r="F516" s="859"/>
      <c r="G516" s="862"/>
      <c r="H516" s="862"/>
      <c r="I516" s="862"/>
      <c r="J516" s="863"/>
      <c r="K516" s="866"/>
      <c r="L516" s="867"/>
      <c r="M516" s="867"/>
      <c r="N516" s="867"/>
      <c r="O516" s="528"/>
      <c r="P516" s="528"/>
      <c r="Q516" s="528"/>
      <c r="R516" s="528"/>
      <c r="S516" s="528"/>
      <c r="T516" s="528"/>
      <c r="U516" s="528"/>
      <c r="V516" s="528"/>
      <c r="W516" s="528"/>
      <c r="X516" s="528"/>
      <c r="Y516" s="528"/>
      <c r="Z516" s="528"/>
      <c r="AA516" s="528"/>
      <c r="AB516" s="528"/>
      <c r="AC516" s="528"/>
      <c r="AD516" s="528"/>
      <c r="AE516" s="528"/>
      <c r="AF516" s="528"/>
      <c r="AG516" s="528"/>
      <c r="AH516" s="528"/>
      <c r="AI516" s="528"/>
      <c r="AJ516" s="528"/>
      <c r="AK516" s="529"/>
      <c r="AL516" s="866"/>
      <c r="AM516" s="867"/>
      <c r="AN516" s="867"/>
      <c r="AO516" s="867"/>
      <c r="AP516" s="845"/>
      <c r="AQ516" s="845"/>
      <c r="AR516" s="846"/>
    </row>
    <row r="518" spans="3:44" ht="18" customHeight="1">
      <c r="C518" s="794" t="s">
        <v>43</v>
      </c>
      <c r="D518" s="774"/>
      <c r="E518" s="775"/>
      <c r="F518" s="773" t="s">
        <v>68</v>
      </c>
      <c r="G518" s="774"/>
      <c r="H518" s="774"/>
      <c r="I518" s="774"/>
      <c r="J518" s="774"/>
      <c r="K518" s="774"/>
      <c r="L518" s="774"/>
      <c r="M518" s="774"/>
      <c r="N518" s="774"/>
      <c r="O518" s="774"/>
      <c r="P518" s="774"/>
      <c r="Q518" s="774"/>
      <c r="R518" s="774"/>
      <c r="S518" s="774"/>
      <c r="T518" s="774"/>
      <c r="U518" s="775"/>
      <c r="V518" s="773" t="s">
        <v>249</v>
      </c>
      <c r="W518" s="774"/>
      <c r="X518" s="775"/>
      <c r="Y518" s="847" t="s">
        <v>69</v>
      </c>
      <c r="Z518" s="848"/>
      <c r="AA518" s="848"/>
      <c r="AB518" s="848"/>
      <c r="AC518" s="848"/>
      <c r="AD518" s="848"/>
      <c r="AE518" s="848"/>
      <c r="AF518" s="849"/>
      <c r="AG518" s="847" t="s">
        <v>70</v>
      </c>
      <c r="AH518" s="848"/>
      <c r="AI518" s="848"/>
      <c r="AJ518" s="848"/>
      <c r="AK518" s="848"/>
      <c r="AL518" s="848"/>
      <c r="AM518" s="848"/>
      <c r="AN518" s="849"/>
      <c r="AO518" s="773" t="s">
        <v>71</v>
      </c>
      <c r="AP518" s="774"/>
      <c r="AQ518" s="774"/>
      <c r="AR518" s="779"/>
    </row>
    <row r="519" spans="3:44" ht="18" customHeight="1">
      <c r="C519" s="795"/>
      <c r="D519" s="777"/>
      <c r="E519" s="778"/>
      <c r="F519" s="776"/>
      <c r="G519" s="777"/>
      <c r="H519" s="777"/>
      <c r="I519" s="777"/>
      <c r="J519" s="777"/>
      <c r="K519" s="777"/>
      <c r="L519" s="777"/>
      <c r="M519" s="777"/>
      <c r="N519" s="777"/>
      <c r="O519" s="777"/>
      <c r="P519" s="777"/>
      <c r="Q519" s="777"/>
      <c r="R519" s="777"/>
      <c r="S519" s="777"/>
      <c r="T519" s="777"/>
      <c r="U519" s="778"/>
      <c r="V519" s="776"/>
      <c r="W519" s="777"/>
      <c r="X519" s="778"/>
      <c r="Y519" s="834" t="s">
        <v>72</v>
      </c>
      <c r="Z519" s="835"/>
      <c r="AA519" s="835"/>
      <c r="AB519" s="836"/>
      <c r="AC519" s="834" t="s">
        <v>73</v>
      </c>
      <c r="AD519" s="835"/>
      <c r="AE519" s="835"/>
      <c r="AF519" s="836"/>
      <c r="AG519" s="834" t="s">
        <v>72</v>
      </c>
      <c r="AH519" s="835"/>
      <c r="AI519" s="835"/>
      <c r="AJ519" s="836"/>
      <c r="AK519" s="834" t="s">
        <v>73</v>
      </c>
      <c r="AL519" s="835"/>
      <c r="AM519" s="835"/>
      <c r="AN519" s="836"/>
      <c r="AO519" s="776"/>
      <c r="AP519" s="777"/>
      <c r="AQ519" s="777"/>
      <c r="AR519" s="780"/>
    </row>
    <row r="520" spans="3:44" ht="18" customHeight="1">
      <c r="C520" s="781"/>
      <c r="D520" s="782"/>
      <c r="E520" s="783"/>
      <c r="F520" s="493"/>
      <c r="G520" s="493"/>
      <c r="H520" s="493"/>
      <c r="I520" s="493"/>
      <c r="J520" s="493"/>
      <c r="K520" s="493"/>
      <c r="L520" s="493"/>
      <c r="M520" s="493"/>
      <c r="N520" s="493"/>
      <c r="O520" s="493"/>
      <c r="P520" s="493"/>
      <c r="Q520" s="493"/>
      <c r="R520" s="493"/>
      <c r="S520" s="493"/>
      <c r="T520" s="493"/>
      <c r="U520" s="493"/>
      <c r="V520" s="837"/>
      <c r="W520" s="838"/>
      <c r="X520" s="839"/>
      <c r="Y520" s="837"/>
      <c r="Z520" s="838"/>
      <c r="AA520" s="838"/>
      <c r="AB520" s="839"/>
      <c r="AC520" s="868"/>
      <c r="AD520" s="869"/>
      <c r="AE520" s="869"/>
      <c r="AF520" s="870"/>
      <c r="AG520" s="491"/>
      <c r="AH520" s="491"/>
      <c r="AI520" s="491"/>
      <c r="AJ520" s="491"/>
      <c r="AK520" s="491"/>
      <c r="AL520" s="491"/>
      <c r="AM520" s="491"/>
      <c r="AN520" s="491"/>
      <c r="AO520" s="491"/>
      <c r="AP520" s="491"/>
      <c r="AQ520" s="491"/>
      <c r="AR520" s="492"/>
    </row>
    <row r="521" spans="3:44" ht="18" customHeight="1">
      <c r="C521" s="758"/>
      <c r="D521" s="759"/>
      <c r="E521" s="760"/>
      <c r="F521" s="493"/>
      <c r="G521" s="493"/>
      <c r="H521" s="493"/>
      <c r="I521" s="493"/>
      <c r="J521" s="493"/>
      <c r="K521" s="493"/>
      <c r="L521" s="493"/>
      <c r="M521" s="493"/>
      <c r="N521" s="493"/>
      <c r="O521" s="493"/>
      <c r="P521" s="493"/>
      <c r="Q521" s="493"/>
      <c r="R521" s="493"/>
      <c r="S521" s="493"/>
      <c r="T521" s="493"/>
      <c r="U521" s="493"/>
      <c r="V521" s="466"/>
      <c r="W521" s="467"/>
      <c r="X521" s="468"/>
      <c r="Y521" s="466"/>
      <c r="Z521" s="467"/>
      <c r="AA521" s="467"/>
      <c r="AB521" s="468"/>
      <c r="AC521" s="828"/>
      <c r="AD521" s="829"/>
      <c r="AE521" s="829"/>
      <c r="AF521" s="830"/>
      <c r="AG521" s="491"/>
      <c r="AH521" s="491"/>
      <c r="AI521" s="491"/>
      <c r="AJ521" s="491"/>
      <c r="AK521" s="491"/>
      <c r="AL521" s="491"/>
      <c r="AM521" s="491"/>
      <c r="AN521" s="491"/>
      <c r="AO521" s="491"/>
      <c r="AP521" s="491"/>
      <c r="AQ521" s="491"/>
      <c r="AR521" s="492"/>
    </row>
    <row r="522" spans="3:44" ht="18" customHeight="1">
      <c r="C522" s="758"/>
      <c r="D522" s="759"/>
      <c r="E522" s="760"/>
      <c r="F522" s="493"/>
      <c r="G522" s="493"/>
      <c r="H522" s="493"/>
      <c r="I522" s="493"/>
      <c r="J522" s="493"/>
      <c r="K522" s="493"/>
      <c r="L522" s="493"/>
      <c r="M522" s="493"/>
      <c r="N522" s="493"/>
      <c r="O522" s="493"/>
      <c r="P522" s="493"/>
      <c r="Q522" s="493"/>
      <c r="R522" s="493"/>
      <c r="S522" s="493"/>
      <c r="T522" s="493"/>
      <c r="U522" s="493"/>
      <c r="V522" s="466"/>
      <c r="W522" s="467"/>
      <c r="X522" s="468"/>
      <c r="Y522" s="466"/>
      <c r="Z522" s="467"/>
      <c r="AA522" s="467"/>
      <c r="AB522" s="468"/>
      <c r="AC522" s="828"/>
      <c r="AD522" s="829"/>
      <c r="AE522" s="829"/>
      <c r="AF522" s="830"/>
      <c r="AG522" s="491"/>
      <c r="AH522" s="491"/>
      <c r="AI522" s="491"/>
      <c r="AJ522" s="491"/>
      <c r="AK522" s="491"/>
      <c r="AL522" s="491"/>
      <c r="AM522" s="491"/>
      <c r="AN522" s="491"/>
      <c r="AO522" s="491"/>
      <c r="AP522" s="491"/>
      <c r="AQ522" s="491"/>
      <c r="AR522" s="492"/>
    </row>
    <row r="523" spans="3:44" ht="18" customHeight="1">
      <c r="C523" s="758"/>
      <c r="D523" s="759"/>
      <c r="E523" s="760"/>
      <c r="F523" s="493"/>
      <c r="G523" s="493"/>
      <c r="H523" s="493"/>
      <c r="I523" s="493"/>
      <c r="J523" s="493"/>
      <c r="K523" s="493"/>
      <c r="L523" s="493"/>
      <c r="M523" s="493"/>
      <c r="N523" s="493"/>
      <c r="O523" s="493"/>
      <c r="P523" s="493"/>
      <c r="Q523" s="493"/>
      <c r="R523" s="493"/>
      <c r="S523" s="493"/>
      <c r="T523" s="493"/>
      <c r="U523" s="493"/>
      <c r="V523" s="466"/>
      <c r="W523" s="467"/>
      <c r="X523" s="468"/>
      <c r="Y523" s="466"/>
      <c r="Z523" s="467"/>
      <c r="AA523" s="467"/>
      <c r="AB523" s="468"/>
      <c r="AC523" s="828"/>
      <c r="AD523" s="829"/>
      <c r="AE523" s="829"/>
      <c r="AF523" s="830"/>
      <c r="AG523" s="491"/>
      <c r="AH523" s="491"/>
      <c r="AI523" s="491"/>
      <c r="AJ523" s="491"/>
      <c r="AK523" s="491"/>
      <c r="AL523" s="491"/>
      <c r="AM523" s="491"/>
      <c r="AN523" s="491"/>
      <c r="AO523" s="491"/>
      <c r="AP523" s="491"/>
      <c r="AQ523" s="491"/>
      <c r="AR523" s="492"/>
    </row>
    <row r="524" spans="3:44" ht="18" customHeight="1">
      <c r="C524" s="758"/>
      <c r="D524" s="759"/>
      <c r="E524" s="760"/>
      <c r="F524" s="493"/>
      <c r="G524" s="493"/>
      <c r="H524" s="493"/>
      <c r="I524" s="493"/>
      <c r="J524" s="493"/>
      <c r="K524" s="493"/>
      <c r="L524" s="493"/>
      <c r="M524" s="493"/>
      <c r="N524" s="493"/>
      <c r="O524" s="493"/>
      <c r="P524" s="493"/>
      <c r="Q524" s="493"/>
      <c r="R524" s="493"/>
      <c r="S524" s="493"/>
      <c r="T524" s="493"/>
      <c r="U524" s="493"/>
      <c r="V524" s="466"/>
      <c r="W524" s="467"/>
      <c r="X524" s="468"/>
      <c r="Y524" s="466"/>
      <c r="Z524" s="467"/>
      <c r="AA524" s="467"/>
      <c r="AB524" s="468"/>
      <c r="AC524" s="828"/>
      <c r="AD524" s="829"/>
      <c r="AE524" s="829"/>
      <c r="AF524" s="830"/>
      <c r="AG524" s="491"/>
      <c r="AH524" s="491"/>
      <c r="AI524" s="491"/>
      <c r="AJ524" s="491"/>
      <c r="AK524" s="491"/>
      <c r="AL524" s="491"/>
      <c r="AM524" s="491"/>
      <c r="AN524" s="491"/>
      <c r="AO524" s="491"/>
      <c r="AP524" s="491"/>
      <c r="AQ524" s="491"/>
      <c r="AR524" s="492"/>
    </row>
    <row r="525" spans="3:44" ht="18" customHeight="1">
      <c r="C525" s="758"/>
      <c r="D525" s="759"/>
      <c r="E525" s="760"/>
      <c r="F525" s="493"/>
      <c r="G525" s="493"/>
      <c r="H525" s="493"/>
      <c r="I525" s="493"/>
      <c r="J525" s="493"/>
      <c r="K525" s="493"/>
      <c r="L525" s="493"/>
      <c r="M525" s="493"/>
      <c r="N525" s="493"/>
      <c r="O525" s="493"/>
      <c r="P525" s="493"/>
      <c r="Q525" s="493"/>
      <c r="R525" s="493"/>
      <c r="S525" s="493"/>
      <c r="T525" s="493"/>
      <c r="U525" s="493"/>
      <c r="V525" s="466"/>
      <c r="W525" s="467"/>
      <c r="X525" s="468"/>
      <c r="Y525" s="466"/>
      <c r="Z525" s="467"/>
      <c r="AA525" s="467"/>
      <c r="AB525" s="468"/>
      <c r="AC525" s="828"/>
      <c r="AD525" s="829"/>
      <c r="AE525" s="829"/>
      <c r="AF525" s="830"/>
      <c r="AG525" s="491"/>
      <c r="AH525" s="491"/>
      <c r="AI525" s="491"/>
      <c r="AJ525" s="491"/>
      <c r="AK525" s="491"/>
      <c r="AL525" s="491"/>
      <c r="AM525" s="491"/>
      <c r="AN525" s="491"/>
      <c r="AO525" s="491"/>
      <c r="AP525" s="491"/>
      <c r="AQ525" s="491"/>
      <c r="AR525" s="492"/>
    </row>
    <row r="526" spans="3:44" ht="18" customHeight="1">
      <c r="C526" s="758"/>
      <c r="D526" s="759"/>
      <c r="E526" s="760"/>
      <c r="F526" s="796"/>
      <c r="G526" s="797"/>
      <c r="H526" s="797"/>
      <c r="I526" s="797"/>
      <c r="J526" s="797"/>
      <c r="K526" s="797"/>
      <c r="L526" s="797"/>
      <c r="M526" s="797"/>
      <c r="N526" s="797"/>
      <c r="O526" s="797"/>
      <c r="P526" s="797"/>
      <c r="Q526" s="797"/>
      <c r="R526" s="797"/>
      <c r="S526" s="797"/>
      <c r="T526" s="797"/>
      <c r="U526" s="798"/>
      <c r="V526" s="466"/>
      <c r="W526" s="467"/>
      <c r="X526" s="468"/>
      <c r="Y526" s="466"/>
      <c r="Z526" s="467"/>
      <c r="AA526" s="467"/>
      <c r="AB526" s="468"/>
      <c r="AC526" s="828"/>
      <c r="AD526" s="829"/>
      <c r="AE526" s="829"/>
      <c r="AF526" s="830"/>
      <c r="AG526" s="466"/>
      <c r="AH526" s="467"/>
      <c r="AI526" s="467"/>
      <c r="AJ526" s="468"/>
      <c r="AK526" s="466"/>
      <c r="AL526" s="467"/>
      <c r="AM526" s="467"/>
      <c r="AN526" s="468"/>
      <c r="AO526" s="466"/>
      <c r="AP526" s="467"/>
      <c r="AQ526" s="467"/>
      <c r="AR526" s="823"/>
    </row>
    <row r="527" spans="3:44" ht="18" customHeight="1">
      <c r="C527" s="758"/>
      <c r="D527" s="759"/>
      <c r="E527" s="760"/>
      <c r="F527" s="796"/>
      <c r="G527" s="797"/>
      <c r="H527" s="797"/>
      <c r="I527" s="797"/>
      <c r="J527" s="797"/>
      <c r="K527" s="797"/>
      <c r="L527" s="797"/>
      <c r="M527" s="797"/>
      <c r="N527" s="797"/>
      <c r="O527" s="797"/>
      <c r="P527" s="797"/>
      <c r="Q527" s="797"/>
      <c r="R527" s="797"/>
      <c r="S527" s="797"/>
      <c r="T527" s="797"/>
      <c r="U527" s="798"/>
      <c r="V527" s="466"/>
      <c r="W527" s="467"/>
      <c r="X527" s="468"/>
      <c r="Y527" s="466"/>
      <c r="Z527" s="467"/>
      <c r="AA527" s="467"/>
      <c r="AB527" s="468"/>
      <c r="AC527" s="828"/>
      <c r="AD527" s="829"/>
      <c r="AE527" s="829"/>
      <c r="AF527" s="830"/>
      <c r="AG527" s="466"/>
      <c r="AH527" s="467"/>
      <c r="AI527" s="467"/>
      <c r="AJ527" s="468"/>
      <c r="AK527" s="466"/>
      <c r="AL527" s="467"/>
      <c r="AM527" s="467"/>
      <c r="AN527" s="468"/>
      <c r="AO527" s="466"/>
      <c r="AP527" s="467"/>
      <c r="AQ527" s="467"/>
      <c r="AR527" s="823"/>
    </row>
    <row r="528" spans="3:44" ht="18" customHeight="1">
      <c r="C528" s="743"/>
      <c r="D528" s="744"/>
      <c r="E528" s="744"/>
      <c r="F528" s="744"/>
      <c r="G528" s="744"/>
      <c r="H528" s="744"/>
      <c r="I528" s="744"/>
      <c r="J528" s="744"/>
      <c r="K528" s="744"/>
      <c r="L528" s="744"/>
      <c r="M528" s="744"/>
      <c r="N528" s="744"/>
      <c r="O528" s="744"/>
      <c r="P528" s="744"/>
      <c r="Q528" s="744"/>
      <c r="R528" s="744"/>
      <c r="S528" s="744"/>
      <c r="T528" s="744"/>
      <c r="U528" s="744"/>
      <c r="V528" s="744"/>
      <c r="W528" s="744"/>
      <c r="X528" s="824"/>
      <c r="Y528" s="825" t="s">
        <v>74</v>
      </c>
      <c r="Z528" s="826"/>
      <c r="AA528" s="826"/>
      <c r="AB528" s="826"/>
      <c r="AC528" s="826"/>
      <c r="AD528" s="826"/>
      <c r="AE528" s="826"/>
      <c r="AF528" s="826"/>
      <c r="AG528" s="826"/>
      <c r="AH528" s="826"/>
      <c r="AI528" s="826"/>
      <c r="AJ528" s="826"/>
      <c r="AK528" s="826"/>
      <c r="AL528" s="826"/>
      <c r="AM528" s="826"/>
      <c r="AN528" s="827"/>
      <c r="AO528" s="477">
        <f>SUM(AO520:AR527)</f>
        <v>0</v>
      </c>
      <c r="AP528" s="746"/>
      <c r="AQ528" s="746"/>
      <c r="AR528" s="747"/>
    </row>
    <row r="530" spans="3:44" ht="18" customHeight="1">
      <c r="C530" s="794" t="s">
        <v>43</v>
      </c>
      <c r="D530" s="774"/>
      <c r="E530" s="775"/>
      <c r="F530" s="773" t="s">
        <v>75</v>
      </c>
      <c r="G530" s="774"/>
      <c r="H530" s="774"/>
      <c r="I530" s="774"/>
      <c r="J530" s="774"/>
      <c r="K530" s="774"/>
      <c r="L530" s="774"/>
      <c r="M530" s="774"/>
      <c r="N530" s="774"/>
      <c r="O530" s="774"/>
      <c r="P530" s="774"/>
      <c r="Q530" s="774"/>
      <c r="R530" s="774"/>
      <c r="S530" s="774"/>
      <c r="T530" s="774"/>
      <c r="U530" s="774"/>
      <c r="V530" s="774"/>
      <c r="W530" s="774"/>
      <c r="X530" s="774"/>
      <c r="Y530" s="774"/>
      <c r="Z530" s="774"/>
      <c r="AA530" s="774"/>
      <c r="AB530" s="775"/>
      <c r="AC530" s="773" t="s">
        <v>76</v>
      </c>
      <c r="AD530" s="774"/>
      <c r="AE530" s="774"/>
      <c r="AF530" s="775"/>
      <c r="AG530" s="773" t="s">
        <v>249</v>
      </c>
      <c r="AH530" s="774"/>
      <c r="AI530" s="774"/>
      <c r="AJ530" s="775"/>
      <c r="AK530" s="773" t="s">
        <v>77</v>
      </c>
      <c r="AL530" s="774"/>
      <c r="AM530" s="774"/>
      <c r="AN530" s="775"/>
      <c r="AO530" s="773" t="s">
        <v>71</v>
      </c>
      <c r="AP530" s="774"/>
      <c r="AQ530" s="774"/>
      <c r="AR530" s="779"/>
    </row>
    <row r="531" spans="3:44" ht="18" customHeight="1">
      <c r="C531" s="795"/>
      <c r="D531" s="777"/>
      <c r="E531" s="778"/>
      <c r="F531" s="776"/>
      <c r="G531" s="777"/>
      <c r="H531" s="777"/>
      <c r="I531" s="777"/>
      <c r="J531" s="777"/>
      <c r="K531" s="777"/>
      <c r="L531" s="777"/>
      <c r="M531" s="777"/>
      <c r="N531" s="777"/>
      <c r="O531" s="777"/>
      <c r="P531" s="777"/>
      <c r="Q531" s="777"/>
      <c r="R531" s="777"/>
      <c r="S531" s="777"/>
      <c r="T531" s="777"/>
      <c r="U531" s="777"/>
      <c r="V531" s="777"/>
      <c r="W531" s="777"/>
      <c r="X531" s="777"/>
      <c r="Y531" s="777"/>
      <c r="Z531" s="777"/>
      <c r="AA531" s="777"/>
      <c r="AB531" s="778"/>
      <c r="AC531" s="776"/>
      <c r="AD531" s="777"/>
      <c r="AE531" s="777"/>
      <c r="AF531" s="778"/>
      <c r="AG531" s="776"/>
      <c r="AH531" s="777"/>
      <c r="AI531" s="777"/>
      <c r="AJ531" s="778"/>
      <c r="AK531" s="776"/>
      <c r="AL531" s="777"/>
      <c r="AM531" s="777"/>
      <c r="AN531" s="778"/>
      <c r="AO531" s="776"/>
      <c r="AP531" s="777"/>
      <c r="AQ531" s="777"/>
      <c r="AR531" s="780"/>
    </row>
    <row r="532" spans="3:44" ht="18" customHeight="1">
      <c r="C532" s="781" t="s">
        <v>940</v>
      </c>
      <c r="D532" s="782"/>
      <c r="E532" s="783"/>
      <c r="F532" s="493" t="s">
        <v>105</v>
      </c>
      <c r="G532" s="493"/>
      <c r="H532" s="493"/>
      <c r="I532" s="493"/>
      <c r="J532" s="493"/>
      <c r="K532" s="493"/>
      <c r="L532" s="493"/>
      <c r="M532" s="493"/>
      <c r="N532" s="493"/>
      <c r="O532" s="493"/>
      <c r="P532" s="493"/>
      <c r="Q532" s="493"/>
      <c r="R532" s="493"/>
      <c r="S532" s="493"/>
      <c r="T532" s="493"/>
      <c r="U532" s="493"/>
      <c r="V532" s="493"/>
      <c r="W532" s="493"/>
      <c r="X532" s="493"/>
      <c r="Y532" s="493"/>
      <c r="Z532" s="493"/>
      <c r="AA532" s="493"/>
      <c r="AB532" s="493"/>
      <c r="AC532" s="770"/>
      <c r="AD532" s="771"/>
      <c r="AE532" s="771"/>
      <c r="AF532" s="790"/>
      <c r="AG532" s="770">
        <v>5</v>
      </c>
      <c r="AH532" s="771"/>
      <c r="AI532" s="771"/>
      <c r="AJ532" s="790"/>
      <c r="AK532" s="449">
        <f>VLOOKUP(C532,[4]MÃODEOBRA!A$1:D$65536,4,FALSE)</f>
        <v>22.98488</v>
      </c>
      <c r="AL532" s="449"/>
      <c r="AM532" s="449"/>
      <c r="AN532" s="449"/>
      <c r="AO532" s="491">
        <f>ROUND(AG532*AK532,2)</f>
        <v>114.92</v>
      </c>
      <c r="AP532" s="491"/>
      <c r="AQ532" s="491"/>
      <c r="AR532" s="492"/>
    </row>
    <row r="533" spans="3:44" ht="18" customHeight="1">
      <c r="C533" s="758"/>
      <c r="D533" s="759"/>
      <c r="E533" s="760"/>
      <c r="F533" s="493"/>
      <c r="G533" s="493"/>
      <c r="H533" s="493"/>
      <c r="I533" s="493"/>
      <c r="J533" s="493"/>
      <c r="K533" s="493"/>
      <c r="L533" s="493"/>
      <c r="M533" s="493"/>
      <c r="N533" s="493"/>
      <c r="O533" s="493"/>
      <c r="P533" s="493"/>
      <c r="Q533" s="493"/>
      <c r="R533" s="493"/>
      <c r="S533" s="493"/>
      <c r="T533" s="493"/>
      <c r="U533" s="493"/>
      <c r="V533" s="493"/>
      <c r="W533" s="493"/>
      <c r="X533" s="493"/>
      <c r="Y533" s="493"/>
      <c r="Z533" s="493"/>
      <c r="AA533" s="493"/>
      <c r="AB533" s="493"/>
      <c r="AC533" s="740"/>
      <c r="AD533" s="741"/>
      <c r="AE533" s="741"/>
      <c r="AF533" s="757"/>
      <c r="AG533" s="740"/>
      <c r="AH533" s="741"/>
      <c r="AI533" s="741"/>
      <c r="AJ533" s="757"/>
      <c r="AK533" s="449"/>
      <c r="AL533" s="449"/>
      <c r="AM533" s="449"/>
      <c r="AN533" s="449"/>
      <c r="AO533" s="491"/>
      <c r="AP533" s="491"/>
      <c r="AQ533" s="491"/>
      <c r="AR533" s="492"/>
    </row>
    <row r="534" spans="3:44" ht="18" customHeight="1">
      <c r="C534" s="758"/>
      <c r="D534" s="759"/>
      <c r="E534" s="760"/>
      <c r="F534" s="796"/>
      <c r="G534" s="797"/>
      <c r="H534" s="797"/>
      <c r="I534" s="797"/>
      <c r="J534" s="797"/>
      <c r="K534" s="797"/>
      <c r="L534" s="797"/>
      <c r="M534" s="797"/>
      <c r="N534" s="797"/>
      <c r="O534" s="797"/>
      <c r="P534" s="797"/>
      <c r="Q534" s="797"/>
      <c r="R534" s="797"/>
      <c r="S534" s="797"/>
      <c r="T534" s="797"/>
      <c r="U534" s="797"/>
      <c r="V534" s="797"/>
      <c r="W534" s="797"/>
      <c r="X534" s="797"/>
      <c r="Y534" s="797"/>
      <c r="Z534" s="797"/>
      <c r="AA534" s="797"/>
      <c r="AB534" s="798"/>
      <c r="AC534" s="740"/>
      <c r="AD534" s="741"/>
      <c r="AE534" s="741"/>
      <c r="AF534" s="757"/>
      <c r="AG534" s="740"/>
      <c r="AH534" s="741"/>
      <c r="AI534" s="741"/>
      <c r="AJ534" s="757"/>
      <c r="AK534" s="740"/>
      <c r="AL534" s="741"/>
      <c r="AM534" s="741"/>
      <c r="AN534" s="757"/>
      <c r="AO534" s="466"/>
      <c r="AP534" s="467"/>
      <c r="AQ534" s="467"/>
      <c r="AR534" s="823"/>
    </row>
    <row r="535" spans="3:44" ht="18" customHeight="1">
      <c r="C535" s="758"/>
      <c r="D535" s="759"/>
      <c r="E535" s="760"/>
      <c r="F535" s="796"/>
      <c r="G535" s="797"/>
      <c r="H535" s="797"/>
      <c r="I535" s="797"/>
      <c r="J535" s="797"/>
      <c r="K535" s="797"/>
      <c r="L535" s="797"/>
      <c r="M535" s="797"/>
      <c r="N535" s="797"/>
      <c r="O535" s="797"/>
      <c r="P535" s="797"/>
      <c r="Q535" s="797"/>
      <c r="R535" s="797"/>
      <c r="S535" s="797"/>
      <c r="T535" s="797"/>
      <c r="U535" s="797"/>
      <c r="V535" s="797"/>
      <c r="W535" s="797"/>
      <c r="X535" s="797"/>
      <c r="Y535" s="797"/>
      <c r="Z535" s="797"/>
      <c r="AA535" s="797"/>
      <c r="AB535" s="798"/>
      <c r="AC535" s="740"/>
      <c r="AD535" s="741"/>
      <c r="AE535" s="741"/>
      <c r="AF535" s="757"/>
      <c r="AG535" s="740"/>
      <c r="AH535" s="741"/>
      <c r="AI535" s="741"/>
      <c r="AJ535" s="757"/>
      <c r="AK535" s="740"/>
      <c r="AL535" s="741"/>
      <c r="AM535" s="741"/>
      <c r="AN535" s="757"/>
      <c r="AO535" s="466"/>
      <c r="AP535" s="467"/>
      <c r="AQ535" s="467"/>
      <c r="AR535" s="823"/>
    </row>
    <row r="536" spans="3:44" ht="18" customHeight="1">
      <c r="C536" s="758"/>
      <c r="D536" s="759"/>
      <c r="E536" s="760"/>
      <c r="F536" s="796"/>
      <c r="G536" s="797"/>
      <c r="H536" s="797"/>
      <c r="I536" s="797"/>
      <c r="J536" s="797"/>
      <c r="K536" s="797"/>
      <c r="L536" s="797"/>
      <c r="M536" s="797"/>
      <c r="N536" s="797"/>
      <c r="O536" s="797"/>
      <c r="P536" s="797"/>
      <c r="Q536" s="797"/>
      <c r="R536" s="797"/>
      <c r="S536" s="797"/>
      <c r="T536" s="797"/>
      <c r="U536" s="797"/>
      <c r="V536" s="797"/>
      <c r="W536" s="797"/>
      <c r="X536" s="797"/>
      <c r="Y536" s="797"/>
      <c r="Z536" s="797"/>
      <c r="AA536" s="797"/>
      <c r="AB536" s="798"/>
      <c r="AC536" s="740"/>
      <c r="AD536" s="741"/>
      <c r="AE536" s="741"/>
      <c r="AF536" s="757"/>
      <c r="AG536" s="740"/>
      <c r="AH536" s="741"/>
      <c r="AI536" s="741"/>
      <c r="AJ536" s="757"/>
      <c r="AK536" s="740"/>
      <c r="AL536" s="741"/>
      <c r="AM536" s="741"/>
      <c r="AN536" s="757"/>
      <c r="AO536" s="466"/>
      <c r="AP536" s="467"/>
      <c r="AQ536" s="467"/>
      <c r="AR536" s="823"/>
    </row>
    <row r="537" spans="3:44" ht="18" customHeight="1">
      <c r="C537" s="758"/>
      <c r="D537" s="759"/>
      <c r="E537" s="760"/>
      <c r="F537" s="796"/>
      <c r="G537" s="797"/>
      <c r="H537" s="797"/>
      <c r="I537" s="797"/>
      <c r="J537" s="797"/>
      <c r="K537" s="797"/>
      <c r="L537" s="797"/>
      <c r="M537" s="797"/>
      <c r="N537" s="797"/>
      <c r="O537" s="797"/>
      <c r="P537" s="797"/>
      <c r="Q537" s="797"/>
      <c r="R537" s="797"/>
      <c r="S537" s="797"/>
      <c r="T537" s="797"/>
      <c r="U537" s="797"/>
      <c r="V537" s="797"/>
      <c r="W537" s="797"/>
      <c r="X537" s="797"/>
      <c r="Y537" s="797"/>
      <c r="Z537" s="797"/>
      <c r="AA537" s="797"/>
      <c r="AB537" s="798"/>
      <c r="AC537" s="740"/>
      <c r="AD537" s="741"/>
      <c r="AE537" s="741"/>
      <c r="AF537" s="757"/>
      <c r="AG537" s="740"/>
      <c r="AH537" s="741"/>
      <c r="AI537" s="741"/>
      <c r="AJ537" s="757"/>
      <c r="AK537" s="740"/>
      <c r="AL537" s="741"/>
      <c r="AM537" s="741"/>
      <c r="AN537" s="757"/>
      <c r="AO537" s="466"/>
      <c r="AP537" s="467"/>
      <c r="AQ537" s="467"/>
      <c r="AR537" s="823"/>
    </row>
    <row r="538" spans="3:44" ht="18" customHeight="1">
      <c r="C538" s="758"/>
      <c r="D538" s="759"/>
      <c r="E538" s="760"/>
      <c r="F538" s="796"/>
      <c r="G538" s="797"/>
      <c r="H538" s="797"/>
      <c r="I538" s="797"/>
      <c r="J538" s="797"/>
      <c r="K538" s="797"/>
      <c r="L538" s="797"/>
      <c r="M538" s="797"/>
      <c r="N538" s="797"/>
      <c r="O538" s="797"/>
      <c r="P538" s="797"/>
      <c r="Q538" s="797"/>
      <c r="R538" s="797"/>
      <c r="S538" s="797"/>
      <c r="T538" s="797"/>
      <c r="U538" s="797"/>
      <c r="V538" s="797"/>
      <c r="W538" s="797"/>
      <c r="X538" s="797"/>
      <c r="Y538" s="797"/>
      <c r="Z538" s="797"/>
      <c r="AA538" s="797"/>
      <c r="AB538" s="798"/>
      <c r="AC538" s="740"/>
      <c r="AD538" s="741"/>
      <c r="AE538" s="741"/>
      <c r="AF538" s="757"/>
      <c r="AG538" s="740"/>
      <c r="AH538" s="741"/>
      <c r="AI538" s="741"/>
      <c r="AJ538" s="757"/>
      <c r="AK538" s="740"/>
      <c r="AL538" s="741"/>
      <c r="AM538" s="741"/>
      <c r="AN538" s="757"/>
      <c r="AO538" s="466"/>
      <c r="AP538" s="467"/>
      <c r="AQ538" s="467"/>
      <c r="AR538" s="823"/>
    </row>
    <row r="539" spans="3:44" ht="18" customHeight="1">
      <c r="C539" s="758"/>
      <c r="D539" s="759"/>
      <c r="E539" s="760"/>
      <c r="F539" s="796"/>
      <c r="G539" s="797"/>
      <c r="H539" s="797"/>
      <c r="I539" s="797"/>
      <c r="J539" s="797"/>
      <c r="K539" s="797"/>
      <c r="L539" s="797"/>
      <c r="M539" s="797"/>
      <c r="N539" s="797"/>
      <c r="O539" s="797"/>
      <c r="P539" s="797"/>
      <c r="Q539" s="797"/>
      <c r="R539" s="797"/>
      <c r="S539" s="797"/>
      <c r="T539" s="797"/>
      <c r="U539" s="797"/>
      <c r="V539" s="797"/>
      <c r="W539" s="797"/>
      <c r="X539" s="797"/>
      <c r="Y539" s="797"/>
      <c r="Z539" s="797"/>
      <c r="AA539" s="797"/>
      <c r="AB539" s="798"/>
      <c r="AC539" s="740"/>
      <c r="AD539" s="741"/>
      <c r="AE539" s="741"/>
      <c r="AF539" s="757"/>
      <c r="AG539" s="740"/>
      <c r="AH539" s="741"/>
      <c r="AI539" s="741"/>
      <c r="AJ539" s="757"/>
      <c r="AK539" s="740"/>
      <c r="AL539" s="741"/>
      <c r="AM539" s="741"/>
      <c r="AN539" s="757"/>
      <c r="AO539" s="466"/>
      <c r="AP539" s="467"/>
      <c r="AQ539" s="467"/>
      <c r="AR539" s="823"/>
    </row>
    <row r="540" spans="3:44" ht="18" customHeight="1">
      <c r="C540" s="814"/>
      <c r="D540" s="815"/>
      <c r="E540" s="815"/>
      <c r="F540" s="815"/>
      <c r="G540" s="815"/>
      <c r="H540" s="815"/>
      <c r="I540" s="815"/>
      <c r="J540" s="815"/>
      <c r="K540" s="815"/>
      <c r="L540" s="815"/>
      <c r="M540" s="815"/>
      <c r="N540" s="815"/>
      <c r="O540" s="815"/>
      <c r="P540" s="815"/>
      <c r="Q540" s="815"/>
      <c r="R540" s="815"/>
      <c r="S540" s="815"/>
      <c r="T540" s="815"/>
      <c r="U540" s="815"/>
      <c r="V540" s="815"/>
      <c r="W540" s="815"/>
      <c r="X540" s="815"/>
      <c r="Y540" s="816" t="s">
        <v>78</v>
      </c>
      <c r="Z540" s="816"/>
      <c r="AA540" s="816"/>
      <c r="AB540" s="816"/>
      <c r="AC540" s="816"/>
      <c r="AD540" s="816"/>
      <c r="AE540" s="816"/>
      <c r="AF540" s="483"/>
      <c r="AG540" s="817" t="s">
        <v>267</v>
      </c>
      <c r="AH540" s="818"/>
      <c r="AI540" s="818"/>
      <c r="AJ540" s="819"/>
      <c r="AK540" s="466">
        <f>SUM(AO532:AR539)</f>
        <v>114.92</v>
      </c>
      <c r="AL540" s="467"/>
      <c r="AM540" s="467"/>
      <c r="AN540" s="468"/>
      <c r="AO540" s="820">
        <f>ROUND(AG540*AK540,2)</f>
        <v>23.57</v>
      </c>
      <c r="AP540" s="821"/>
      <c r="AQ540" s="821"/>
      <c r="AR540" s="822"/>
    </row>
    <row r="541" spans="3:44" ht="18" customHeight="1">
      <c r="C541" s="743"/>
      <c r="D541" s="744"/>
      <c r="E541" s="744"/>
      <c r="F541" s="744"/>
      <c r="G541" s="744"/>
      <c r="H541" s="744"/>
      <c r="I541" s="744"/>
      <c r="J541" s="744"/>
      <c r="K541" s="744"/>
      <c r="L541" s="744"/>
      <c r="M541" s="744"/>
      <c r="N541" s="744"/>
      <c r="O541" s="744"/>
      <c r="P541" s="744"/>
      <c r="Q541" s="744"/>
      <c r="R541" s="744"/>
      <c r="S541" s="744"/>
      <c r="T541" s="744"/>
      <c r="U541" s="744"/>
      <c r="V541" s="744"/>
      <c r="W541" s="744"/>
      <c r="X541" s="744"/>
      <c r="Y541" s="745" t="s">
        <v>79</v>
      </c>
      <c r="Z541" s="745"/>
      <c r="AA541" s="745"/>
      <c r="AB541" s="745"/>
      <c r="AC541" s="745"/>
      <c r="AD541" s="745"/>
      <c r="AE541" s="745"/>
      <c r="AF541" s="745"/>
      <c r="AG541" s="745"/>
      <c r="AH541" s="745"/>
      <c r="AI541" s="745"/>
      <c r="AJ541" s="745"/>
      <c r="AK541" s="745"/>
      <c r="AL541" s="745"/>
      <c r="AM541" s="745"/>
      <c r="AN541" s="430"/>
      <c r="AO541" s="477">
        <f>SUM(AO532:AR540)</f>
        <v>138.49</v>
      </c>
      <c r="AP541" s="746"/>
      <c r="AQ541" s="746"/>
      <c r="AR541" s="747"/>
    </row>
    <row r="543" spans="3:44" ht="18" customHeight="1">
      <c r="C543" s="802"/>
      <c r="D543" s="803"/>
      <c r="E543" s="803"/>
      <c r="F543" s="803"/>
      <c r="G543" s="803"/>
      <c r="H543" s="803"/>
      <c r="I543" s="803"/>
      <c r="J543" s="803"/>
      <c r="K543" s="803"/>
      <c r="L543" s="803"/>
      <c r="M543" s="803"/>
      <c r="N543" s="803"/>
      <c r="O543" s="803"/>
      <c r="P543" s="803"/>
      <c r="Q543" s="803"/>
      <c r="R543" s="803"/>
      <c r="S543" s="803"/>
      <c r="T543" s="803"/>
      <c r="U543" s="803"/>
      <c r="V543" s="803"/>
      <c r="W543" s="803"/>
      <c r="X543" s="803"/>
      <c r="Y543" s="804" t="s">
        <v>80</v>
      </c>
      <c r="Z543" s="805"/>
      <c r="AA543" s="805"/>
      <c r="AB543" s="805"/>
      <c r="AC543" s="805"/>
      <c r="AD543" s="805"/>
      <c r="AE543" s="805"/>
      <c r="AF543" s="805"/>
      <c r="AG543" s="805"/>
      <c r="AH543" s="805"/>
      <c r="AI543" s="805"/>
      <c r="AJ543" s="805"/>
      <c r="AK543" s="805"/>
      <c r="AL543" s="805"/>
      <c r="AM543" s="805"/>
      <c r="AN543" s="806"/>
      <c r="AO543" s="807">
        <f>AO528+AO541</f>
        <v>138.49</v>
      </c>
      <c r="AP543" s="808"/>
      <c r="AQ543" s="808"/>
      <c r="AR543" s="809"/>
    </row>
    <row r="544" spans="3:44" ht="18" customHeight="1">
      <c r="C544" s="810" t="s">
        <v>81</v>
      </c>
      <c r="D544" s="745"/>
      <c r="E544" s="745"/>
      <c r="F544" s="745"/>
      <c r="G544" s="745"/>
      <c r="H544" s="745"/>
      <c r="I544" s="745"/>
      <c r="J544" s="745"/>
      <c r="K544" s="745"/>
      <c r="L544" s="745"/>
      <c r="M544" s="745"/>
      <c r="N544" s="745"/>
      <c r="O544" s="745"/>
      <c r="P544" s="430"/>
      <c r="Q544" s="477">
        <v>1</v>
      </c>
      <c r="R544" s="746"/>
      <c r="S544" s="746"/>
      <c r="T544" s="746"/>
      <c r="U544" s="746"/>
      <c r="V544" s="745" t="s">
        <v>194</v>
      </c>
      <c r="W544" s="745"/>
      <c r="X544" s="430"/>
      <c r="Y544" s="804" t="s">
        <v>82</v>
      </c>
      <c r="Z544" s="805"/>
      <c r="AA544" s="805"/>
      <c r="AB544" s="805"/>
      <c r="AC544" s="805"/>
      <c r="AD544" s="805"/>
      <c r="AE544" s="805"/>
      <c r="AF544" s="805"/>
      <c r="AG544" s="805"/>
      <c r="AH544" s="805"/>
      <c r="AI544" s="805"/>
      <c r="AJ544" s="805"/>
      <c r="AK544" s="805"/>
      <c r="AL544" s="805"/>
      <c r="AM544" s="805"/>
      <c r="AN544" s="806"/>
      <c r="AO544" s="811">
        <f>ROUND(AO543/Q544,2)</f>
        <v>138.49</v>
      </c>
      <c r="AP544" s="812"/>
      <c r="AQ544" s="812"/>
      <c r="AR544" s="813"/>
    </row>
    <row r="546" spans="3:44" ht="18" customHeight="1">
      <c r="C546" s="794" t="s">
        <v>43</v>
      </c>
      <c r="D546" s="774"/>
      <c r="E546" s="775"/>
      <c r="F546" s="773" t="s">
        <v>83</v>
      </c>
      <c r="G546" s="774"/>
      <c r="H546" s="774"/>
      <c r="I546" s="774"/>
      <c r="J546" s="774"/>
      <c r="K546" s="774"/>
      <c r="L546" s="774"/>
      <c r="M546" s="774"/>
      <c r="N546" s="774"/>
      <c r="O546" s="774"/>
      <c r="P546" s="774"/>
      <c r="Q546" s="774"/>
      <c r="R546" s="774"/>
      <c r="S546" s="774"/>
      <c r="T546" s="774"/>
      <c r="U546" s="774"/>
      <c r="V546" s="774"/>
      <c r="W546" s="774"/>
      <c r="X546" s="774"/>
      <c r="Y546" s="774"/>
      <c r="Z546" s="774"/>
      <c r="AA546" s="774"/>
      <c r="AB546" s="775"/>
      <c r="AC546" s="773" t="s">
        <v>84</v>
      </c>
      <c r="AD546" s="774"/>
      <c r="AE546" s="774"/>
      <c r="AF546" s="775"/>
      <c r="AG546" s="773" t="s">
        <v>85</v>
      </c>
      <c r="AH546" s="774"/>
      <c r="AI546" s="774"/>
      <c r="AJ546" s="775"/>
      <c r="AK546" s="773" t="s">
        <v>86</v>
      </c>
      <c r="AL546" s="774"/>
      <c r="AM546" s="774"/>
      <c r="AN546" s="775"/>
      <c r="AO546" s="773" t="s">
        <v>87</v>
      </c>
      <c r="AP546" s="774"/>
      <c r="AQ546" s="774"/>
      <c r="AR546" s="779"/>
    </row>
    <row r="547" spans="3:44" ht="18" customHeight="1">
      <c r="C547" s="795"/>
      <c r="D547" s="777"/>
      <c r="E547" s="778"/>
      <c r="F547" s="776"/>
      <c r="G547" s="777"/>
      <c r="H547" s="777"/>
      <c r="I547" s="777"/>
      <c r="J547" s="777"/>
      <c r="K547" s="777"/>
      <c r="L547" s="777"/>
      <c r="M547" s="777"/>
      <c r="N547" s="777"/>
      <c r="O547" s="777"/>
      <c r="P547" s="777"/>
      <c r="Q547" s="777"/>
      <c r="R547" s="777"/>
      <c r="S547" s="777"/>
      <c r="T547" s="777"/>
      <c r="U547" s="777"/>
      <c r="V547" s="777"/>
      <c r="W547" s="777"/>
      <c r="X547" s="777"/>
      <c r="Y547" s="777"/>
      <c r="Z547" s="777"/>
      <c r="AA547" s="777"/>
      <c r="AB547" s="778"/>
      <c r="AC547" s="776"/>
      <c r="AD547" s="777"/>
      <c r="AE547" s="777"/>
      <c r="AF547" s="778"/>
      <c r="AG547" s="776"/>
      <c r="AH547" s="777"/>
      <c r="AI547" s="777"/>
      <c r="AJ547" s="778"/>
      <c r="AK547" s="776"/>
      <c r="AL547" s="777"/>
      <c r="AM547" s="777"/>
      <c r="AN547" s="778"/>
      <c r="AO547" s="776"/>
      <c r="AP547" s="777"/>
      <c r="AQ547" s="777"/>
      <c r="AR547" s="780"/>
    </row>
    <row r="548" spans="3:44" ht="18" customHeight="1">
      <c r="C548" s="758" t="s">
        <v>857</v>
      </c>
      <c r="D548" s="759"/>
      <c r="E548" s="760"/>
      <c r="F548" s="796" t="s">
        <v>374</v>
      </c>
      <c r="G548" s="797"/>
      <c r="H548" s="797"/>
      <c r="I548" s="797"/>
      <c r="J548" s="797"/>
      <c r="K548" s="797"/>
      <c r="L548" s="797"/>
      <c r="M548" s="797"/>
      <c r="N548" s="797"/>
      <c r="O548" s="797"/>
      <c r="P548" s="797"/>
      <c r="Q548" s="797"/>
      <c r="R548" s="797"/>
      <c r="S548" s="797"/>
      <c r="T548" s="797"/>
      <c r="U548" s="797"/>
      <c r="V548" s="797"/>
      <c r="W548" s="797"/>
      <c r="X548" s="797"/>
      <c r="Y548" s="797"/>
      <c r="Z548" s="797"/>
      <c r="AA548" s="797"/>
      <c r="AB548" s="798"/>
      <c r="AC548" s="799" t="s">
        <v>245</v>
      </c>
      <c r="AD548" s="800"/>
      <c r="AE548" s="800"/>
      <c r="AF548" s="801"/>
      <c r="AG548" s="466">
        <f>TRUNC(301.73/1.2031,2)</f>
        <v>250.79</v>
      </c>
      <c r="AH548" s="467"/>
      <c r="AI548" s="467"/>
      <c r="AJ548" s="468"/>
      <c r="AK548" s="737">
        <v>1.014</v>
      </c>
      <c r="AL548" s="738"/>
      <c r="AM548" s="738"/>
      <c r="AN548" s="739"/>
      <c r="AO548" s="740">
        <f>ROUND(AG548*AK548,2)</f>
        <v>254.3</v>
      </c>
      <c r="AP548" s="741"/>
      <c r="AQ548" s="741"/>
      <c r="AR548" s="742"/>
    </row>
    <row r="549" spans="3:44" ht="18" customHeight="1">
      <c r="C549" s="758" t="s">
        <v>1377</v>
      </c>
      <c r="D549" s="759"/>
      <c r="E549" s="760"/>
      <c r="F549" s="796" t="s">
        <v>417</v>
      </c>
      <c r="G549" s="797"/>
      <c r="H549" s="797"/>
      <c r="I549" s="797"/>
      <c r="J549" s="797"/>
      <c r="K549" s="797"/>
      <c r="L549" s="797"/>
      <c r="M549" s="797"/>
      <c r="N549" s="797"/>
      <c r="O549" s="797"/>
      <c r="P549" s="797"/>
      <c r="Q549" s="797"/>
      <c r="R549" s="797"/>
      <c r="S549" s="797"/>
      <c r="T549" s="797"/>
      <c r="U549" s="797"/>
      <c r="V549" s="797"/>
      <c r="W549" s="797"/>
      <c r="X549" s="797"/>
      <c r="Y549" s="797"/>
      <c r="Z549" s="797"/>
      <c r="AA549" s="797"/>
      <c r="AB549" s="798"/>
      <c r="AC549" s="799" t="s">
        <v>245</v>
      </c>
      <c r="AD549" s="800"/>
      <c r="AE549" s="800"/>
      <c r="AF549" s="801"/>
      <c r="AG549" s="466">
        <f>TRUNC(373.21/1.2031,2)</f>
        <v>310.2</v>
      </c>
      <c r="AH549" s="467"/>
      <c r="AI549" s="467"/>
      <c r="AJ549" s="468"/>
      <c r="AK549" s="737">
        <v>6.258</v>
      </c>
      <c r="AL549" s="738"/>
      <c r="AM549" s="738"/>
      <c r="AN549" s="739"/>
      <c r="AO549" s="740">
        <f>ROUND(AG549*AK549,2)</f>
        <v>1941.23</v>
      </c>
      <c r="AP549" s="741"/>
      <c r="AQ549" s="741"/>
      <c r="AR549" s="742"/>
    </row>
    <row r="550" spans="3:44" ht="18" customHeight="1">
      <c r="C550" s="758" t="s">
        <v>1376</v>
      </c>
      <c r="D550" s="759"/>
      <c r="E550" s="760"/>
      <c r="F550" s="796" t="s">
        <v>370</v>
      </c>
      <c r="G550" s="797"/>
      <c r="H550" s="797"/>
      <c r="I550" s="797"/>
      <c r="J550" s="797"/>
      <c r="K550" s="797"/>
      <c r="L550" s="797"/>
      <c r="M550" s="797"/>
      <c r="N550" s="797"/>
      <c r="O550" s="797"/>
      <c r="P550" s="797"/>
      <c r="Q550" s="797"/>
      <c r="R550" s="797"/>
      <c r="S550" s="797"/>
      <c r="T550" s="797"/>
      <c r="U550" s="797"/>
      <c r="V550" s="797"/>
      <c r="W550" s="797"/>
      <c r="X550" s="797"/>
      <c r="Y550" s="797"/>
      <c r="Z550" s="797"/>
      <c r="AA550" s="797"/>
      <c r="AB550" s="798"/>
      <c r="AC550" s="799" t="s">
        <v>309</v>
      </c>
      <c r="AD550" s="800"/>
      <c r="AE550" s="800"/>
      <c r="AF550" s="801"/>
      <c r="AG550" s="466">
        <f>TRUNC(43.8/1.2031,2)</f>
        <v>36.4</v>
      </c>
      <c r="AH550" s="467"/>
      <c r="AI550" s="467"/>
      <c r="AJ550" s="468"/>
      <c r="AK550" s="737">
        <v>75.92</v>
      </c>
      <c r="AL550" s="738"/>
      <c r="AM550" s="738"/>
      <c r="AN550" s="739"/>
      <c r="AO550" s="740">
        <f>ROUND(AG550*AK550,2)</f>
        <v>2763.49</v>
      </c>
      <c r="AP550" s="741"/>
      <c r="AQ550" s="741"/>
      <c r="AR550" s="742"/>
    </row>
    <row r="551" spans="3:44" ht="18" customHeight="1">
      <c r="C551" s="758" t="s">
        <v>859</v>
      </c>
      <c r="D551" s="759"/>
      <c r="E551" s="760"/>
      <c r="F551" s="796" t="s">
        <v>447</v>
      </c>
      <c r="G551" s="797"/>
      <c r="H551" s="797"/>
      <c r="I551" s="797"/>
      <c r="J551" s="797"/>
      <c r="K551" s="797"/>
      <c r="L551" s="797"/>
      <c r="M551" s="797"/>
      <c r="N551" s="797"/>
      <c r="O551" s="797"/>
      <c r="P551" s="797"/>
      <c r="Q551" s="797"/>
      <c r="R551" s="797"/>
      <c r="S551" s="797"/>
      <c r="T551" s="797"/>
      <c r="U551" s="797"/>
      <c r="V551" s="797"/>
      <c r="W551" s="797"/>
      <c r="X551" s="797"/>
      <c r="Y551" s="797"/>
      <c r="Z551" s="797"/>
      <c r="AA551" s="797"/>
      <c r="AB551" s="798"/>
      <c r="AC551" s="799" t="s">
        <v>194</v>
      </c>
      <c r="AD551" s="800"/>
      <c r="AE551" s="800"/>
      <c r="AF551" s="801"/>
      <c r="AG551" s="466">
        <f>TRUNC(216.57/1.2031,2)</f>
        <v>180</v>
      </c>
      <c r="AH551" s="467"/>
      <c r="AI551" s="467"/>
      <c r="AJ551" s="468"/>
      <c r="AK551" s="737">
        <v>1</v>
      </c>
      <c r="AL551" s="738"/>
      <c r="AM551" s="738"/>
      <c r="AN551" s="739"/>
      <c r="AO551" s="740">
        <f>ROUND(AG551*AK551,2)</f>
        <v>180</v>
      </c>
      <c r="AP551" s="741"/>
      <c r="AQ551" s="741"/>
      <c r="AR551" s="742"/>
    </row>
    <row r="552" spans="3:44" ht="18" customHeight="1">
      <c r="C552" s="758"/>
      <c r="D552" s="759"/>
      <c r="E552" s="760"/>
      <c r="F552" s="796">
        <v>0</v>
      </c>
      <c r="G552" s="797"/>
      <c r="H552" s="797"/>
      <c r="I552" s="797"/>
      <c r="J552" s="797"/>
      <c r="K552" s="797"/>
      <c r="L552" s="797"/>
      <c r="M552" s="797"/>
      <c r="N552" s="797"/>
      <c r="O552" s="797"/>
      <c r="P552" s="797"/>
      <c r="Q552" s="797"/>
      <c r="R552" s="797"/>
      <c r="S552" s="797"/>
      <c r="T552" s="797"/>
      <c r="U552" s="797"/>
      <c r="V552" s="797"/>
      <c r="W552" s="797"/>
      <c r="X552" s="797"/>
      <c r="Y552" s="797"/>
      <c r="Z552" s="797"/>
      <c r="AA552" s="797"/>
      <c r="AB552" s="798"/>
      <c r="AC552" s="799">
        <v>0</v>
      </c>
      <c r="AD552" s="800"/>
      <c r="AE552" s="800"/>
      <c r="AF552" s="801"/>
      <c r="AG552" s="466">
        <v>0</v>
      </c>
      <c r="AH552" s="467"/>
      <c r="AI552" s="467"/>
      <c r="AJ552" s="468"/>
      <c r="AK552" s="737"/>
      <c r="AL552" s="738"/>
      <c r="AM552" s="738"/>
      <c r="AN552" s="739"/>
      <c r="AO552" s="740">
        <f>ROUND(AG552*AK552,2)</f>
        <v>0</v>
      </c>
      <c r="AP552" s="741"/>
      <c r="AQ552" s="741"/>
      <c r="AR552" s="742"/>
    </row>
    <row r="553" spans="3:44" ht="18" customHeight="1">
      <c r="C553" s="758"/>
      <c r="D553" s="759"/>
      <c r="E553" s="760"/>
      <c r="F553" s="796"/>
      <c r="G553" s="797"/>
      <c r="H553" s="797"/>
      <c r="I553" s="797"/>
      <c r="J553" s="797"/>
      <c r="K553" s="797"/>
      <c r="L553" s="797"/>
      <c r="M553" s="797"/>
      <c r="N553" s="797"/>
      <c r="O553" s="797"/>
      <c r="P553" s="797"/>
      <c r="Q553" s="797"/>
      <c r="R553" s="797"/>
      <c r="S553" s="797"/>
      <c r="T553" s="797"/>
      <c r="U553" s="797"/>
      <c r="V553" s="797"/>
      <c r="W553" s="797"/>
      <c r="X553" s="797"/>
      <c r="Y553" s="797"/>
      <c r="Z553" s="797"/>
      <c r="AA553" s="797"/>
      <c r="AB553" s="798"/>
      <c r="AC553" s="799"/>
      <c r="AD553" s="800"/>
      <c r="AE553" s="800"/>
      <c r="AF553" s="801"/>
      <c r="AG553" s="466"/>
      <c r="AH553" s="467"/>
      <c r="AI553" s="467"/>
      <c r="AJ553" s="468"/>
      <c r="AK553" s="737"/>
      <c r="AL553" s="738"/>
      <c r="AM553" s="738"/>
      <c r="AN553" s="739"/>
      <c r="AO553" s="740"/>
      <c r="AP553" s="741"/>
      <c r="AQ553" s="741"/>
      <c r="AR553" s="742"/>
    </row>
    <row r="554" spans="3:44" ht="18" customHeight="1">
      <c r="C554" s="758"/>
      <c r="D554" s="759"/>
      <c r="E554" s="760"/>
      <c r="F554" s="796"/>
      <c r="G554" s="797"/>
      <c r="H554" s="797"/>
      <c r="I554" s="797"/>
      <c r="J554" s="797"/>
      <c r="K554" s="797"/>
      <c r="L554" s="797"/>
      <c r="M554" s="797"/>
      <c r="N554" s="797"/>
      <c r="O554" s="797"/>
      <c r="P554" s="797"/>
      <c r="Q554" s="797"/>
      <c r="R554" s="797"/>
      <c r="S554" s="797"/>
      <c r="T554" s="797"/>
      <c r="U554" s="797"/>
      <c r="V554" s="797"/>
      <c r="W554" s="797"/>
      <c r="X554" s="797"/>
      <c r="Y554" s="797"/>
      <c r="Z554" s="797"/>
      <c r="AA554" s="797"/>
      <c r="AB554" s="798"/>
      <c r="AC554" s="799"/>
      <c r="AD554" s="800"/>
      <c r="AE554" s="800"/>
      <c r="AF554" s="801"/>
      <c r="AG554" s="466"/>
      <c r="AH554" s="467"/>
      <c r="AI554" s="467"/>
      <c r="AJ554" s="468"/>
      <c r="AK554" s="737"/>
      <c r="AL554" s="738"/>
      <c r="AM554" s="738"/>
      <c r="AN554" s="739"/>
      <c r="AO554" s="740"/>
      <c r="AP554" s="741"/>
      <c r="AQ554" s="741"/>
      <c r="AR554" s="742"/>
    </row>
    <row r="555" spans="3:44" ht="18" customHeight="1">
      <c r="C555" s="758"/>
      <c r="D555" s="759"/>
      <c r="E555" s="760"/>
      <c r="F555" s="796"/>
      <c r="G555" s="797"/>
      <c r="H555" s="797"/>
      <c r="I555" s="797"/>
      <c r="J555" s="797"/>
      <c r="K555" s="797"/>
      <c r="L555" s="797"/>
      <c r="M555" s="797"/>
      <c r="N555" s="797"/>
      <c r="O555" s="797"/>
      <c r="P555" s="797"/>
      <c r="Q555" s="797"/>
      <c r="R555" s="797"/>
      <c r="S555" s="797"/>
      <c r="T555" s="797"/>
      <c r="U555" s="797"/>
      <c r="V555" s="797"/>
      <c r="W555" s="797"/>
      <c r="X555" s="797"/>
      <c r="Y555" s="797"/>
      <c r="Z555" s="797"/>
      <c r="AA555" s="797"/>
      <c r="AB555" s="798"/>
      <c r="AC555" s="799"/>
      <c r="AD555" s="800"/>
      <c r="AE555" s="800"/>
      <c r="AF555" s="801"/>
      <c r="AG555" s="466"/>
      <c r="AH555" s="467"/>
      <c r="AI555" s="467"/>
      <c r="AJ555" s="468"/>
      <c r="AK555" s="737"/>
      <c r="AL555" s="738"/>
      <c r="AM555" s="738"/>
      <c r="AN555" s="739"/>
      <c r="AO555" s="740"/>
      <c r="AP555" s="741"/>
      <c r="AQ555" s="741"/>
      <c r="AR555" s="742"/>
    </row>
    <row r="556" spans="3:44" ht="18" customHeight="1">
      <c r="C556" s="743"/>
      <c r="D556" s="744"/>
      <c r="E556" s="744"/>
      <c r="F556" s="744"/>
      <c r="G556" s="744"/>
      <c r="H556" s="744"/>
      <c r="I556" s="744"/>
      <c r="J556" s="744"/>
      <c r="K556" s="744"/>
      <c r="L556" s="744"/>
      <c r="M556" s="744"/>
      <c r="N556" s="744"/>
      <c r="O556" s="744"/>
      <c r="P556" s="744"/>
      <c r="Q556" s="744"/>
      <c r="R556" s="744"/>
      <c r="S556" s="744"/>
      <c r="T556" s="744"/>
      <c r="U556" s="744"/>
      <c r="V556" s="744"/>
      <c r="W556" s="744"/>
      <c r="X556" s="744"/>
      <c r="Y556" s="745" t="s">
        <v>88</v>
      </c>
      <c r="Z556" s="745"/>
      <c r="AA556" s="745"/>
      <c r="AB556" s="745"/>
      <c r="AC556" s="745"/>
      <c r="AD556" s="745"/>
      <c r="AE556" s="745"/>
      <c r="AF556" s="745"/>
      <c r="AG556" s="745"/>
      <c r="AH556" s="745"/>
      <c r="AI556" s="745"/>
      <c r="AJ556" s="745"/>
      <c r="AK556" s="745"/>
      <c r="AL556" s="745"/>
      <c r="AM556" s="745"/>
      <c r="AN556" s="430"/>
      <c r="AO556" s="477">
        <f>SUM(AO548:AR555)</f>
        <v>5139.0200000000004</v>
      </c>
      <c r="AP556" s="746"/>
      <c r="AQ556" s="746"/>
      <c r="AR556" s="747"/>
    </row>
    <row r="558" spans="3:44" ht="18" customHeight="1">
      <c r="C558" s="794" t="s">
        <v>43</v>
      </c>
      <c r="D558" s="774"/>
      <c r="E558" s="775"/>
      <c r="F558" s="773" t="s">
        <v>89</v>
      </c>
      <c r="G558" s="774"/>
      <c r="H558" s="774"/>
      <c r="I558" s="774"/>
      <c r="J558" s="774"/>
      <c r="K558" s="774"/>
      <c r="L558" s="774"/>
      <c r="M558" s="774"/>
      <c r="N558" s="774"/>
      <c r="O558" s="774"/>
      <c r="P558" s="774"/>
      <c r="Q558" s="774"/>
      <c r="R558" s="775"/>
      <c r="S558" s="773" t="s">
        <v>90</v>
      </c>
      <c r="T558" s="774"/>
      <c r="U558" s="775"/>
      <c r="V558" s="773" t="s">
        <v>91</v>
      </c>
      <c r="W558" s="774"/>
      <c r="X558" s="775"/>
      <c r="Y558" s="773" t="s">
        <v>92</v>
      </c>
      <c r="Z558" s="774"/>
      <c r="AA558" s="774"/>
      <c r="AB558" s="774"/>
      <c r="AC558" s="774"/>
      <c r="AD558" s="775"/>
      <c r="AE558" s="773" t="s">
        <v>93</v>
      </c>
      <c r="AF558" s="774"/>
      <c r="AG558" s="775"/>
      <c r="AH558" s="773" t="s">
        <v>94</v>
      </c>
      <c r="AI558" s="774"/>
      <c r="AJ558" s="775"/>
      <c r="AK558" s="773" t="s">
        <v>86</v>
      </c>
      <c r="AL558" s="774"/>
      <c r="AM558" s="774"/>
      <c r="AN558" s="775"/>
      <c r="AO558" s="773" t="s">
        <v>87</v>
      </c>
      <c r="AP558" s="774"/>
      <c r="AQ558" s="774"/>
      <c r="AR558" s="779"/>
    </row>
    <row r="559" spans="3:44" ht="18" customHeight="1">
      <c r="C559" s="795"/>
      <c r="D559" s="777"/>
      <c r="E559" s="778"/>
      <c r="F559" s="776"/>
      <c r="G559" s="777"/>
      <c r="H559" s="777"/>
      <c r="I559" s="777"/>
      <c r="J559" s="777"/>
      <c r="K559" s="777"/>
      <c r="L559" s="777"/>
      <c r="M559" s="777"/>
      <c r="N559" s="777"/>
      <c r="O559" s="777"/>
      <c r="P559" s="777"/>
      <c r="Q559" s="777"/>
      <c r="R559" s="778"/>
      <c r="S559" s="776"/>
      <c r="T559" s="777"/>
      <c r="U559" s="778"/>
      <c r="V559" s="776"/>
      <c r="W559" s="777"/>
      <c r="X559" s="778"/>
      <c r="Y559" s="776"/>
      <c r="Z559" s="777"/>
      <c r="AA559" s="777"/>
      <c r="AB559" s="777"/>
      <c r="AC559" s="777"/>
      <c r="AD559" s="778"/>
      <c r="AE559" s="776"/>
      <c r="AF559" s="777"/>
      <c r="AG559" s="778"/>
      <c r="AH559" s="776"/>
      <c r="AI559" s="777"/>
      <c r="AJ559" s="778"/>
      <c r="AK559" s="776"/>
      <c r="AL559" s="777"/>
      <c r="AM559" s="777"/>
      <c r="AN559" s="778"/>
      <c r="AO559" s="776"/>
      <c r="AP559" s="777"/>
      <c r="AQ559" s="777"/>
      <c r="AR559" s="780"/>
    </row>
    <row r="560" spans="3:44" ht="18" customHeight="1">
      <c r="C560" s="781"/>
      <c r="D560" s="782"/>
      <c r="E560" s="783"/>
      <c r="F560" s="457"/>
      <c r="G560" s="457"/>
      <c r="H560" s="457"/>
      <c r="I560" s="457"/>
      <c r="J560" s="457"/>
      <c r="K560" s="457"/>
      <c r="L560" s="457"/>
      <c r="M560" s="457"/>
      <c r="N560" s="457"/>
      <c r="O560" s="457"/>
      <c r="P560" s="457"/>
      <c r="Q560" s="457"/>
      <c r="R560" s="457"/>
      <c r="S560" s="784"/>
      <c r="T560" s="785"/>
      <c r="U560" s="786"/>
      <c r="V560" s="784"/>
      <c r="W560" s="785"/>
      <c r="X560" s="786"/>
      <c r="Y560" s="787"/>
      <c r="Z560" s="788"/>
      <c r="AA560" s="788"/>
      <c r="AB560" s="788"/>
      <c r="AC560" s="788"/>
      <c r="AD560" s="789"/>
      <c r="AE560" s="449"/>
      <c r="AF560" s="449"/>
      <c r="AG560" s="449"/>
      <c r="AH560" s="770"/>
      <c r="AI560" s="771"/>
      <c r="AJ560" s="790"/>
      <c r="AK560" s="791"/>
      <c r="AL560" s="792"/>
      <c r="AM560" s="792"/>
      <c r="AN560" s="793"/>
      <c r="AO560" s="770"/>
      <c r="AP560" s="771"/>
      <c r="AQ560" s="771"/>
      <c r="AR560" s="772"/>
    </row>
    <row r="561" spans="1:44" ht="18" customHeight="1">
      <c r="C561" s="758"/>
      <c r="D561" s="759"/>
      <c r="E561" s="760"/>
      <c r="F561" s="761"/>
      <c r="G561" s="762"/>
      <c r="H561" s="762"/>
      <c r="I561" s="762"/>
      <c r="J561" s="762"/>
      <c r="K561" s="762"/>
      <c r="L561" s="762"/>
      <c r="M561" s="762"/>
      <c r="N561" s="762"/>
      <c r="O561" s="762"/>
      <c r="P561" s="762"/>
      <c r="Q561" s="762"/>
      <c r="R561" s="763"/>
      <c r="S561" s="764"/>
      <c r="T561" s="765"/>
      <c r="U561" s="766"/>
      <c r="V561" s="764"/>
      <c r="W561" s="765"/>
      <c r="X561" s="766"/>
      <c r="Y561" s="767"/>
      <c r="Z561" s="768"/>
      <c r="AA561" s="768"/>
      <c r="AB561" s="768"/>
      <c r="AC561" s="768"/>
      <c r="AD561" s="769"/>
      <c r="AE561" s="740"/>
      <c r="AF561" s="741"/>
      <c r="AG561" s="757"/>
      <c r="AH561" s="740"/>
      <c r="AI561" s="741"/>
      <c r="AJ561" s="757"/>
      <c r="AK561" s="737"/>
      <c r="AL561" s="738"/>
      <c r="AM561" s="738"/>
      <c r="AN561" s="739"/>
      <c r="AO561" s="740">
        <f t="shared" ref="AO561:AO567" si="8">ROUND(AE561*AH561*AK561,2)</f>
        <v>0</v>
      </c>
      <c r="AP561" s="741"/>
      <c r="AQ561" s="741"/>
      <c r="AR561" s="742"/>
    </row>
    <row r="562" spans="1:44" ht="18" customHeight="1">
      <c r="C562" s="758"/>
      <c r="D562" s="759"/>
      <c r="E562" s="760"/>
      <c r="F562" s="761"/>
      <c r="G562" s="762"/>
      <c r="H562" s="762"/>
      <c r="I562" s="762"/>
      <c r="J562" s="762"/>
      <c r="K562" s="762"/>
      <c r="L562" s="762"/>
      <c r="M562" s="762"/>
      <c r="N562" s="762"/>
      <c r="O562" s="762"/>
      <c r="P562" s="762"/>
      <c r="Q562" s="762"/>
      <c r="R562" s="763"/>
      <c r="S562" s="764"/>
      <c r="T562" s="765"/>
      <c r="U562" s="766"/>
      <c r="V562" s="764"/>
      <c r="W562" s="765"/>
      <c r="X562" s="766"/>
      <c r="Y562" s="767"/>
      <c r="Z562" s="768"/>
      <c r="AA562" s="768"/>
      <c r="AB562" s="768"/>
      <c r="AC562" s="768"/>
      <c r="AD562" s="769"/>
      <c r="AE562" s="740"/>
      <c r="AF562" s="741"/>
      <c r="AG562" s="757"/>
      <c r="AH562" s="740"/>
      <c r="AI562" s="741"/>
      <c r="AJ562" s="757"/>
      <c r="AK562" s="737"/>
      <c r="AL562" s="738"/>
      <c r="AM562" s="738"/>
      <c r="AN562" s="739"/>
      <c r="AO562" s="740">
        <f t="shared" si="8"/>
        <v>0</v>
      </c>
      <c r="AP562" s="741"/>
      <c r="AQ562" s="741"/>
      <c r="AR562" s="742"/>
    </row>
    <row r="563" spans="1:44" ht="18" customHeight="1">
      <c r="C563" s="758"/>
      <c r="D563" s="759"/>
      <c r="E563" s="760"/>
      <c r="F563" s="761"/>
      <c r="G563" s="762"/>
      <c r="H563" s="762"/>
      <c r="I563" s="762"/>
      <c r="J563" s="762"/>
      <c r="K563" s="762"/>
      <c r="L563" s="762"/>
      <c r="M563" s="762"/>
      <c r="N563" s="762"/>
      <c r="O563" s="762"/>
      <c r="P563" s="762"/>
      <c r="Q563" s="762"/>
      <c r="R563" s="763"/>
      <c r="S563" s="764"/>
      <c r="T563" s="765"/>
      <c r="U563" s="766"/>
      <c r="V563" s="764"/>
      <c r="W563" s="765"/>
      <c r="X563" s="766"/>
      <c r="Y563" s="767"/>
      <c r="Z563" s="768"/>
      <c r="AA563" s="768"/>
      <c r="AB563" s="768"/>
      <c r="AC563" s="768"/>
      <c r="AD563" s="769"/>
      <c r="AE563" s="740"/>
      <c r="AF563" s="741"/>
      <c r="AG563" s="757"/>
      <c r="AH563" s="740"/>
      <c r="AI563" s="741"/>
      <c r="AJ563" s="757"/>
      <c r="AK563" s="737"/>
      <c r="AL563" s="738"/>
      <c r="AM563" s="738"/>
      <c r="AN563" s="739"/>
      <c r="AO563" s="740">
        <f t="shared" si="8"/>
        <v>0</v>
      </c>
      <c r="AP563" s="741"/>
      <c r="AQ563" s="741"/>
      <c r="AR563" s="742"/>
    </row>
    <row r="564" spans="1:44" ht="18" customHeight="1">
      <c r="C564" s="758"/>
      <c r="D564" s="759"/>
      <c r="E564" s="760"/>
      <c r="F564" s="761"/>
      <c r="G564" s="762"/>
      <c r="H564" s="762"/>
      <c r="I564" s="762"/>
      <c r="J564" s="762"/>
      <c r="K564" s="762"/>
      <c r="L564" s="762"/>
      <c r="M564" s="762"/>
      <c r="N564" s="762"/>
      <c r="O564" s="762"/>
      <c r="P564" s="762"/>
      <c r="Q564" s="762"/>
      <c r="R564" s="763"/>
      <c r="S564" s="764"/>
      <c r="T564" s="765"/>
      <c r="U564" s="766"/>
      <c r="V564" s="764"/>
      <c r="W564" s="765"/>
      <c r="X564" s="766"/>
      <c r="Y564" s="767"/>
      <c r="Z564" s="768"/>
      <c r="AA564" s="768"/>
      <c r="AB564" s="768"/>
      <c r="AC564" s="768"/>
      <c r="AD564" s="769"/>
      <c r="AE564" s="740"/>
      <c r="AF564" s="741"/>
      <c r="AG564" s="757"/>
      <c r="AH564" s="740"/>
      <c r="AI564" s="741"/>
      <c r="AJ564" s="757"/>
      <c r="AK564" s="737"/>
      <c r="AL564" s="738"/>
      <c r="AM564" s="738"/>
      <c r="AN564" s="739"/>
      <c r="AO564" s="740">
        <f t="shared" si="8"/>
        <v>0</v>
      </c>
      <c r="AP564" s="741"/>
      <c r="AQ564" s="741"/>
      <c r="AR564" s="742"/>
    </row>
    <row r="565" spans="1:44" ht="18" customHeight="1">
      <c r="C565" s="758"/>
      <c r="D565" s="759"/>
      <c r="E565" s="760"/>
      <c r="F565" s="761"/>
      <c r="G565" s="762"/>
      <c r="H565" s="762"/>
      <c r="I565" s="762"/>
      <c r="J565" s="762"/>
      <c r="K565" s="762"/>
      <c r="L565" s="762"/>
      <c r="M565" s="762"/>
      <c r="N565" s="762"/>
      <c r="O565" s="762"/>
      <c r="P565" s="762"/>
      <c r="Q565" s="762"/>
      <c r="R565" s="763"/>
      <c r="S565" s="764"/>
      <c r="T565" s="765"/>
      <c r="U565" s="766"/>
      <c r="V565" s="764"/>
      <c r="W565" s="765"/>
      <c r="X565" s="766"/>
      <c r="Y565" s="767"/>
      <c r="Z565" s="768"/>
      <c r="AA565" s="768"/>
      <c r="AB565" s="768"/>
      <c r="AC565" s="768"/>
      <c r="AD565" s="769"/>
      <c r="AE565" s="740"/>
      <c r="AF565" s="741"/>
      <c r="AG565" s="757"/>
      <c r="AH565" s="740"/>
      <c r="AI565" s="741"/>
      <c r="AJ565" s="757"/>
      <c r="AK565" s="737"/>
      <c r="AL565" s="738"/>
      <c r="AM565" s="738"/>
      <c r="AN565" s="739"/>
      <c r="AO565" s="740">
        <f t="shared" si="8"/>
        <v>0</v>
      </c>
      <c r="AP565" s="741"/>
      <c r="AQ565" s="741"/>
      <c r="AR565" s="742"/>
    </row>
    <row r="566" spans="1:44" ht="18" customHeight="1">
      <c r="C566" s="758"/>
      <c r="D566" s="759"/>
      <c r="E566" s="760"/>
      <c r="F566" s="761"/>
      <c r="G566" s="762"/>
      <c r="H566" s="762"/>
      <c r="I566" s="762"/>
      <c r="J566" s="762"/>
      <c r="K566" s="762"/>
      <c r="L566" s="762"/>
      <c r="M566" s="762"/>
      <c r="N566" s="762"/>
      <c r="O566" s="762"/>
      <c r="P566" s="762"/>
      <c r="Q566" s="762"/>
      <c r="R566" s="763"/>
      <c r="S566" s="764"/>
      <c r="T566" s="765"/>
      <c r="U566" s="766"/>
      <c r="V566" s="764"/>
      <c r="W566" s="765"/>
      <c r="X566" s="766"/>
      <c r="Y566" s="767"/>
      <c r="Z566" s="768"/>
      <c r="AA566" s="768"/>
      <c r="AB566" s="768"/>
      <c r="AC566" s="768"/>
      <c r="AD566" s="769"/>
      <c r="AE566" s="740"/>
      <c r="AF566" s="741"/>
      <c r="AG566" s="757"/>
      <c r="AH566" s="740"/>
      <c r="AI566" s="741"/>
      <c r="AJ566" s="757"/>
      <c r="AK566" s="737"/>
      <c r="AL566" s="738"/>
      <c r="AM566" s="738"/>
      <c r="AN566" s="739"/>
      <c r="AO566" s="740">
        <f t="shared" si="8"/>
        <v>0</v>
      </c>
      <c r="AP566" s="741"/>
      <c r="AQ566" s="741"/>
      <c r="AR566" s="742"/>
    </row>
    <row r="567" spans="1:44" ht="18" customHeight="1">
      <c r="C567" s="758"/>
      <c r="D567" s="759"/>
      <c r="E567" s="760"/>
      <c r="F567" s="761"/>
      <c r="G567" s="762"/>
      <c r="H567" s="762"/>
      <c r="I567" s="762"/>
      <c r="J567" s="762"/>
      <c r="K567" s="762"/>
      <c r="L567" s="762"/>
      <c r="M567" s="762"/>
      <c r="N567" s="762"/>
      <c r="O567" s="762"/>
      <c r="P567" s="762"/>
      <c r="Q567" s="762"/>
      <c r="R567" s="763"/>
      <c r="S567" s="764"/>
      <c r="T567" s="765"/>
      <c r="U567" s="766"/>
      <c r="V567" s="764"/>
      <c r="W567" s="765"/>
      <c r="X567" s="766"/>
      <c r="Y567" s="767"/>
      <c r="Z567" s="768"/>
      <c r="AA567" s="768"/>
      <c r="AB567" s="768"/>
      <c r="AC567" s="768"/>
      <c r="AD567" s="769"/>
      <c r="AE567" s="740"/>
      <c r="AF567" s="741"/>
      <c r="AG567" s="757"/>
      <c r="AH567" s="740"/>
      <c r="AI567" s="741"/>
      <c r="AJ567" s="757"/>
      <c r="AK567" s="737"/>
      <c r="AL567" s="738"/>
      <c r="AM567" s="738"/>
      <c r="AN567" s="739"/>
      <c r="AO567" s="740">
        <f t="shared" si="8"/>
        <v>0</v>
      </c>
      <c r="AP567" s="741"/>
      <c r="AQ567" s="741"/>
      <c r="AR567" s="742"/>
    </row>
    <row r="568" spans="1:44" ht="18" customHeight="1">
      <c r="C568" s="743"/>
      <c r="D568" s="744"/>
      <c r="E568" s="744"/>
      <c r="F568" s="744"/>
      <c r="G568" s="744"/>
      <c r="H568" s="744"/>
      <c r="I568" s="744"/>
      <c r="J568" s="744"/>
      <c r="K568" s="744"/>
      <c r="L568" s="744"/>
      <c r="M568" s="744"/>
      <c r="N568" s="744"/>
      <c r="O568" s="744"/>
      <c r="P568" s="744"/>
      <c r="Q568" s="744"/>
      <c r="R568" s="744"/>
      <c r="S568" s="744"/>
      <c r="T568" s="744"/>
      <c r="U568" s="744"/>
      <c r="V568" s="744"/>
      <c r="W568" s="744"/>
      <c r="X568" s="744"/>
      <c r="Y568" s="745" t="s">
        <v>95</v>
      </c>
      <c r="Z568" s="745"/>
      <c r="AA568" s="745"/>
      <c r="AB568" s="745"/>
      <c r="AC568" s="745"/>
      <c r="AD568" s="745"/>
      <c r="AE568" s="745"/>
      <c r="AF568" s="745"/>
      <c r="AG568" s="745"/>
      <c r="AH568" s="745"/>
      <c r="AI568" s="745"/>
      <c r="AJ568" s="745"/>
      <c r="AK568" s="745"/>
      <c r="AL568" s="745"/>
      <c r="AM568" s="745"/>
      <c r="AN568" s="430"/>
      <c r="AO568" s="477">
        <f>SUM(AO560:AR567)</f>
        <v>0</v>
      </c>
      <c r="AP568" s="746"/>
      <c r="AQ568" s="746"/>
      <c r="AR568" s="747"/>
    </row>
    <row r="570" spans="1:44" ht="18" customHeight="1">
      <c r="C570" s="434"/>
      <c r="D570" s="434"/>
      <c r="E570" s="434"/>
      <c r="F570" s="434"/>
      <c r="G570" s="434"/>
      <c r="H570" s="434"/>
      <c r="I570" s="434"/>
      <c r="J570" s="434"/>
      <c r="K570" s="434"/>
      <c r="L570" s="434"/>
      <c r="M570" s="434"/>
      <c r="N570" s="434"/>
      <c r="O570" s="434"/>
      <c r="P570" s="434"/>
      <c r="Q570" s="434"/>
      <c r="R570" s="434"/>
      <c r="S570" s="434"/>
      <c r="T570" s="434"/>
      <c r="U570" s="434"/>
      <c r="V570" s="434"/>
      <c r="W570" s="434"/>
      <c r="X570" s="748"/>
      <c r="Y570" s="749" t="s">
        <v>96</v>
      </c>
      <c r="Z570" s="750"/>
      <c r="AA570" s="750"/>
      <c r="AB570" s="750"/>
      <c r="AC570" s="750"/>
      <c r="AD570" s="750"/>
      <c r="AE570" s="750"/>
      <c r="AF570" s="750"/>
      <c r="AG570" s="750"/>
      <c r="AH570" s="750"/>
      <c r="AI570" s="750"/>
      <c r="AJ570" s="750"/>
      <c r="AK570" s="750"/>
      <c r="AL570" s="750"/>
      <c r="AM570" s="750"/>
      <c r="AN570" s="751"/>
      <c r="AO570" s="752">
        <f>AO544+AO556+AO568</f>
        <v>5277.51</v>
      </c>
      <c r="AP570" s="753"/>
      <c r="AQ570" s="753"/>
      <c r="AR570" s="754"/>
    </row>
    <row r="571" spans="1:44" ht="18" customHeight="1">
      <c r="C571" s="434"/>
      <c r="D571" s="434"/>
      <c r="E571" s="434"/>
      <c r="F571" s="434"/>
      <c r="G571" s="434"/>
      <c r="H571" s="434"/>
      <c r="I571" s="434"/>
      <c r="J571" s="434"/>
      <c r="K571" s="434"/>
      <c r="L571" s="434"/>
      <c r="M571" s="434"/>
      <c r="N571" s="434"/>
      <c r="O571" s="434"/>
      <c r="P571" s="434"/>
      <c r="Q571" s="434"/>
      <c r="R571" s="434"/>
      <c r="S571" s="434"/>
      <c r="T571" s="434"/>
      <c r="U571" s="434"/>
      <c r="V571" s="434"/>
      <c r="W571" s="434"/>
      <c r="X571" s="748"/>
      <c r="Y571" s="755" t="s">
        <v>97</v>
      </c>
      <c r="Z571" s="756"/>
      <c r="AA571" s="756"/>
      <c r="AB571" s="756"/>
      <c r="AC571" s="756"/>
      <c r="AD571" s="756"/>
      <c r="AE571" s="756"/>
      <c r="AF571" s="756"/>
      <c r="AG571" s="756"/>
      <c r="AH571" s="442">
        <v>0.2031</v>
      </c>
      <c r="AI571" s="442"/>
      <c r="AJ571" s="442"/>
      <c r="AK571" s="442"/>
      <c r="AL571" s="442"/>
      <c r="AM571" s="442"/>
      <c r="AN571" s="443"/>
      <c r="AO571" s="728">
        <f>ROUND(AO570*AH571,2)</f>
        <v>1071.8599999999999</v>
      </c>
      <c r="AP571" s="729"/>
      <c r="AQ571" s="729"/>
      <c r="AR571" s="730"/>
    </row>
    <row r="572" spans="1:44" ht="18" customHeight="1">
      <c r="A572" s="415" t="s">
        <v>435</v>
      </c>
      <c r="B572" s="415"/>
      <c r="C572" s="434"/>
      <c r="D572" s="434"/>
      <c r="E572" s="434"/>
      <c r="F572" s="434"/>
      <c r="G572" s="434"/>
      <c r="H572" s="434"/>
      <c r="I572" s="434"/>
      <c r="J572" s="434"/>
      <c r="K572" s="434"/>
      <c r="L572" s="434"/>
      <c r="M572" s="434"/>
      <c r="N572" s="434"/>
      <c r="O572" s="434"/>
      <c r="P572" s="434"/>
      <c r="Q572" s="434"/>
      <c r="R572" s="434"/>
      <c r="S572" s="434"/>
      <c r="T572" s="434"/>
      <c r="U572" s="434"/>
      <c r="V572" s="434"/>
      <c r="W572" s="434"/>
      <c r="X572" s="748"/>
      <c r="Y572" s="731" t="s">
        <v>98</v>
      </c>
      <c r="Z572" s="732"/>
      <c r="AA572" s="732"/>
      <c r="AB572" s="732"/>
      <c r="AC572" s="732"/>
      <c r="AD572" s="732"/>
      <c r="AE572" s="732"/>
      <c r="AF572" s="732"/>
      <c r="AG572" s="732"/>
      <c r="AH572" s="732"/>
      <c r="AI572" s="732"/>
      <c r="AJ572" s="732"/>
      <c r="AK572" s="732"/>
      <c r="AL572" s="732"/>
      <c r="AM572" s="732"/>
      <c r="AN572" s="733"/>
      <c r="AO572" s="734">
        <f>SUM(AO570:AR571)</f>
        <v>6349.37</v>
      </c>
      <c r="AP572" s="735"/>
      <c r="AQ572" s="735"/>
      <c r="AR572" s="736"/>
    </row>
    <row r="574" spans="1:44" ht="18" customHeight="1">
      <c r="C574" s="420" t="s">
        <v>99</v>
      </c>
      <c r="D574" s="421"/>
      <c r="E574" s="421"/>
      <c r="F574" s="421"/>
      <c r="G574" s="421"/>
      <c r="H574" s="421"/>
      <c r="I574" s="422"/>
      <c r="J574" s="422"/>
      <c r="K574" s="422"/>
      <c r="L574" s="422"/>
      <c r="M574" s="422"/>
      <c r="N574" s="422"/>
      <c r="O574" s="422"/>
      <c r="P574" s="422"/>
      <c r="Q574" s="422"/>
      <c r="R574" s="422"/>
      <c r="S574" s="422"/>
      <c r="T574" s="422"/>
      <c r="U574" s="422"/>
      <c r="V574" s="422"/>
      <c r="W574" s="422"/>
      <c r="X574" s="422"/>
      <c r="Y574" s="422"/>
      <c r="Z574" s="422"/>
      <c r="AA574" s="422"/>
      <c r="AB574" s="422"/>
      <c r="AC574" s="422"/>
      <c r="AD574" s="422"/>
      <c r="AE574" s="422"/>
      <c r="AF574" s="422"/>
      <c r="AG574" s="422"/>
      <c r="AH574" s="422"/>
      <c r="AI574" s="422"/>
      <c r="AJ574" s="422"/>
      <c r="AK574" s="422"/>
      <c r="AL574" s="422"/>
      <c r="AM574" s="422"/>
      <c r="AN574" s="422"/>
      <c r="AO574" s="422"/>
      <c r="AP574" s="422"/>
      <c r="AQ574" s="422"/>
      <c r="AR574" s="423"/>
    </row>
    <row r="575" spans="1:44" ht="18" customHeight="1">
      <c r="C575" s="411"/>
      <c r="D575" s="412"/>
      <c r="E575" s="412"/>
      <c r="F575" s="412"/>
      <c r="G575" s="412"/>
      <c r="H575" s="412"/>
      <c r="I575" s="409"/>
      <c r="J575" s="409"/>
      <c r="K575" s="409"/>
      <c r="L575" s="409"/>
      <c r="M575" s="409"/>
      <c r="N575" s="409"/>
      <c r="O575" s="409"/>
      <c r="P575" s="409"/>
      <c r="Q575" s="409"/>
      <c r="R575" s="409"/>
      <c r="S575" s="409"/>
      <c r="T575" s="409"/>
      <c r="U575" s="409"/>
      <c r="V575" s="409"/>
      <c r="W575" s="409"/>
      <c r="X575" s="409"/>
      <c r="Y575" s="409"/>
      <c r="Z575" s="409"/>
      <c r="AA575" s="409"/>
      <c r="AB575" s="409"/>
      <c r="AC575" s="409"/>
      <c r="AD575" s="409"/>
      <c r="AE575" s="409"/>
      <c r="AF575" s="409"/>
      <c r="AG575" s="409"/>
      <c r="AH575" s="409"/>
      <c r="AI575" s="409"/>
      <c r="AJ575" s="409"/>
      <c r="AK575" s="409"/>
      <c r="AL575" s="409"/>
      <c r="AM575" s="409"/>
      <c r="AN575" s="409"/>
      <c r="AO575" s="409"/>
      <c r="AP575" s="409"/>
      <c r="AQ575" s="409"/>
      <c r="AR575" s="410"/>
    </row>
    <row r="576" spans="1:44" ht="18" customHeight="1">
      <c r="C576" s="411"/>
      <c r="D576" s="412"/>
      <c r="E576" s="412"/>
      <c r="F576" s="412"/>
      <c r="G576" s="412"/>
      <c r="H576" s="412"/>
      <c r="I576" s="409"/>
      <c r="J576" s="409"/>
      <c r="K576" s="409"/>
      <c r="L576" s="409"/>
      <c r="M576" s="409"/>
      <c r="N576" s="409"/>
      <c r="O576" s="409"/>
      <c r="P576" s="409"/>
      <c r="Q576" s="409"/>
      <c r="R576" s="409"/>
      <c r="S576" s="409"/>
      <c r="T576" s="409"/>
      <c r="U576" s="409"/>
      <c r="V576" s="409"/>
      <c r="W576" s="409"/>
      <c r="X576" s="409"/>
      <c r="Y576" s="409"/>
      <c r="Z576" s="409"/>
      <c r="AA576" s="409"/>
      <c r="AB576" s="409"/>
      <c r="AC576" s="409"/>
      <c r="AD576" s="409"/>
      <c r="AE576" s="409"/>
      <c r="AF576" s="409"/>
      <c r="AG576" s="409"/>
      <c r="AH576" s="409"/>
      <c r="AI576" s="409"/>
      <c r="AJ576" s="409"/>
      <c r="AK576" s="409"/>
      <c r="AL576" s="409"/>
      <c r="AM576" s="409"/>
      <c r="AN576" s="409"/>
      <c r="AO576" s="409"/>
      <c r="AP576" s="409"/>
      <c r="AQ576" s="409"/>
      <c r="AR576" s="410"/>
    </row>
    <row r="577" spans="3:44" ht="18" customHeight="1">
      <c r="C577" s="411"/>
      <c r="D577" s="412"/>
      <c r="E577" s="412"/>
      <c r="F577" s="412"/>
      <c r="G577" s="412"/>
      <c r="H577" s="412"/>
      <c r="I577" s="409"/>
      <c r="J577" s="409"/>
      <c r="K577" s="409"/>
      <c r="L577" s="409"/>
      <c r="M577" s="409"/>
      <c r="N577" s="409"/>
      <c r="O577" s="409"/>
      <c r="P577" s="409"/>
      <c r="Q577" s="409"/>
      <c r="R577" s="409"/>
      <c r="S577" s="409"/>
      <c r="T577" s="409"/>
      <c r="U577" s="409"/>
      <c r="V577" s="409"/>
      <c r="W577" s="409"/>
      <c r="X577" s="409"/>
      <c r="Y577" s="409"/>
      <c r="Z577" s="409"/>
      <c r="AA577" s="409"/>
      <c r="AB577" s="409"/>
      <c r="AC577" s="409"/>
      <c r="AD577" s="409"/>
      <c r="AE577" s="409"/>
      <c r="AF577" s="409"/>
      <c r="AG577" s="409"/>
      <c r="AH577" s="409"/>
      <c r="AI577" s="409"/>
      <c r="AJ577" s="409"/>
      <c r="AK577" s="409"/>
      <c r="AL577" s="409"/>
      <c r="AM577" s="409"/>
      <c r="AN577" s="409"/>
      <c r="AO577" s="409"/>
      <c r="AP577" s="409"/>
      <c r="AQ577" s="409"/>
      <c r="AR577" s="410"/>
    </row>
    <row r="578" spans="3:44" ht="18" customHeight="1">
      <c r="C578" s="411"/>
      <c r="D578" s="412"/>
      <c r="E578" s="412"/>
      <c r="F578" s="412"/>
      <c r="G578" s="412"/>
      <c r="H578" s="412"/>
      <c r="I578" s="409"/>
      <c r="J578" s="409"/>
      <c r="K578" s="409"/>
      <c r="L578" s="409"/>
      <c r="M578" s="409"/>
      <c r="N578" s="409"/>
      <c r="O578" s="409"/>
      <c r="P578" s="409"/>
      <c r="Q578" s="409"/>
      <c r="R578" s="409"/>
      <c r="S578" s="409"/>
      <c r="T578" s="409"/>
      <c r="U578" s="409"/>
      <c r="V578" s="409"/>
      <c r="W578" s="409"/>
      <c r="X578" s="409"/>
      <c r="Y578" s="409"/>
      <c r="Z578" s="409"/>
      <c r="AA578" s="409"/>
      <c r="AB578" s="409"/>
      <c r="AC578" s="409"/>
      <c r="AD578" s="409"/>
      <c r="AE578" s="409"/>
      <c r="AF578" s="409"/>
      <c r="AG578" s="409"/>
      <c r="AH578" s="409"/>
      <c r="AI578" s="409"/>
      <c r="AJ578" s="409"/>
      <c r="AK578" s="409"/>
      <c r="AL578" s="409"/>
      <c r="AM578" s="409"/>
      <c r="AN578" s="409"/>
      <c r="AO578" s="409"/>
      <c r="AP578" s="409"/>
      <c r="AQ578" s="409"/>
      <c r="AR578" s="410"/>
    </row>
    <row r="579" spans="3:44" ht="18" customHeight="1">
      <c r="C579" s="385"/>
      <c r="D579" s="386"/>
      <c r="E579" s="386"/>
      <c r="F579" s="386"/>
      <c r="G579" s="386"/>
      <c r="H579" s="386"/>
      <c r="I579" s="387"/>
      <c r="J579" s="387"/>
      <c r="K579" s="387"/>
      <c r="L579" s="387"/>
      <c r="M579" s="387"/>
      <c r="N579" s="387"/>
      <c r="O579" s="387"/>
      <c r="P579" s="387"/>
      <c r="Q579" s="387"/>
      <c r="R579" s="387"/>
      <c r="S579" s="387"/>
      <c r="T579" s="387"/>
      <c r="U579" s="387"/>
      <c r="V579" s="387"/>
      <c r="W579" s="387"/>
      <c r="X579" s="387"/>
      <c r="Y579" s="387"/>
      <c r="Z579" s="387"/>
      <c r="AA579" s="387"/>
      <c r="AB579" s="387"/>
      <c r="AC579" s="387"/>
      <c r="AD579" s="387"/>
      <c r="AE579" s="387"/>
      <c r="AF579" s="387"/>
      <c r="AG579" s="387"/>
      <c r="AH579" s="387"/>
      <c r="AI579" s="387"/>
      <c r="AJ579" s="387"/>
      <c r="AK579" s="387"/>
      <c r="AL579" s="387"/>
      <c r="AM579" s="387"/>
      <c r="AN579" s="387"/>
      <c r="AO579" s="387"/>
      <c r="AP579" s="387"/>
      <c r="AQ579" s="387"/>
      <c r="AR579" s="388"/>
    </row>
    <row r="581" spans="3:44" ht="18" customHeight="1">
      <c r="C581" s="389" t="s">
        <v>100</v>
      </c>
      <c r="D581" s="390"/>
      <c r="E581" s="390"/>
      <c r="F581" s="390"/>
      <c r="G581" s="390"/>
      <c r="H581" s="390"/>
      <c r="I581" s="390"/>
      <c r="J581" s="390"/>
      <c r="K581" s="390"/>
      <c r="L581" s="390"/>
      <c r="M581" s="390"/>
      <c r="N581" s="390"/>
      <c r="O581" s="390"/>
      <c r="P581" s="390"/>
      <c r="Q581" s="390"/>
      <c r="R581" s="390"/>
      <c r="S581" s="390"/>
      <c r="T581" s="390"/>
      <c r="U581" s="390"/>
      <c r="V581" s="390"/>
      <c r="W581" s="390"/>
      <c r="X581" s="390"/>
      <c r="Y581" s="390"/>
      <c r="Z581" s="390"/>
      <c r="AA581" s="391"/>
      <c r="AB581" s="392" t="str">
        <f>[4]C.UNIT.SERV.!$E$5</f>
        <v>DATA-BASE:      MAIO/2011/PR</v>
      </c>
      <c r="AC581" s="393"/>
      <c r="AD581" s="393"/>
      <c r="AE581" s="393"/>
      <c r="AF581" s="393"/>
      <c r="AG581" s="393"/>
      <c r="AH581" s="393"/>
      <c r="AI581" s="394"/>
      <c r="AJ581" s="392"/>
      <c r="AK581" s="393"/>
      <c r="AL581" s="393"/>
      <c r="AM581" s="393"/>
      <c r="AN581" s="393"/>
      <c r="AO581" s="393"/>
      <c r="AP581" s="393"/>
      <c r="AQ581" s="393"/>
      <c r="AR581" s="401"/>
    </row>
    <row r="582" spans="3:44" ht="18" customHeight="1">
      <c r="C582" s="404" t="s">
        <v>101</v>
      </c>
      <c r="D582" s="405"/>
      <c r="E582" s="405"/>
      <c r="F582" s="405"/>
      <c r="G582" s="405" t="s">
        <v>283</v>
      </c>
      <c r="H582" s="405"/>
      <c r="I582" s="405"/>
      <c r="J582" s="405"/>
      <c r="K582" s="405"/>
      <c r="L582" s="405"/>
      <c r="M582" s="405"/>
      <c r="N582" s="405"/>
      <c r="O582" s="405"/>
      <c r="P582" s="405"/>
      <c r="Q582" s="405"/>
      <c r="R582" s="405"/>
      <c r="S582" s="405"/>
      <c r="T582" s="405"/>
      <c r="U582" s="405"/>
      <c r="V582" s="405"/>
      <c r="W582" s="405"/>
      <c r="X582" s="405"/>
      <c r="Y582" s="405"/>
      <c r="Z582" s="405"/>
      <c r="AA582" s="406"/>
      <c r="AB582" s="395"/>
      <c r="AC582" s="396"/>
      <c r="AD582" s="396"/>
      <c r="AE582" s="396"/>
      <c r="AF582" s="396"/>
      <c r="AG582" s="396"/>
      <c r="AH582" s="396"/>
      <c r="AI582" s="397"/>
      <c r="AJ582" s="395"/>
      <c r="AK582" s="396"/>
      <c r="AL582" s="396"/>
      <c r="AM582" s="396"/>
      <c r="AN582" s="396"/>
      <c r="AO582" s="396"/>
      <c r="AP582" s="396"/>
      <c r="AQ582" s="396"/>
      <c r="AR582" s="402"/>
    </row>
    <row r="583" spans="3:44" ht="18" customHeight="1">
      <c r="C583" s="404" t="s">
        <v>102</v>
      </c>
      <c r="D583" s="405"/>
      <c r="E583" s="405"/>
      <c r="F583" s="405"/>
      <c r="G583" s="405"/>
      <c r="H583" s="405"/>
      <c r="I583" s="405"/>
      <c r="J583" s="405"/>
      <c r="K583" s="405"/>
      <c r="L583" s="405"/>
      <c r="M583" s="405"/>
      <c r="N583" s="405"/>
      <c r="O583" s="405"/>
      <c r="P583" s="405"/>
      <c r="Q583" s="405"/>
      <c r="R583" s="405"/>
      <c r="S583" s="405"/>
      <c r="T583" s="405"/>
      <c r="U583" s="405"/>
      <c r="V583" s="405"/>
      <c r="W583" s="405"/>
      <c r="X583" s="405"/>
      <c r="Y583" s="405"/>
      <c r="Z583" s="405"/>
      <c r="AA583" s="406"/>
      <c r="AB583" s="395"/>
      <c r="AC583" s="396"/>
      <c r="AD583" s="396"/>
      <c r="AE583" s="396"/>
      <c r="AF583" s="396"/>
      <c r="AG583" s="396"/>
      <c r="AH583" s="396"/>
      <c r="AI583" s="397"/>
      <c r="AJ583" s="395"/>
      <c r="AK583" s="396"/>
      <c r="AL583" s="396"/>
      <c r="AM583" s="396"/>
      <c r="AN583" s="396"/>
      <c r="AO583" s="396"/>
      <c r="AP583" s="396"/>
      <c r="AQ583" s="396"/>
      <c r="AR583" s="402"/>
    </row>
    <row r="584" spans="3:44" ht="18" customHeight="1">
      <c r="C584" s="407"/>
      <c r="D584" s="408"/>
      <c r="E584" s="408"/>
      <c r="F584" s="408"/>
      <c r="G584" s="408"/>
      <c r="H584" s="408"/>
      <c r="I584" s="408"/>
      <c r="J584" s="408"/>
      <c r="K584" s="408"/>
      <c r="L584" s="408"/>
      <c r="M584" s="408"/>
      <c r="N584" s="408"/>
      <c r="O584" s="408"/>
      <c r="P584" s="408"/>
      <c r="Q584" s="408"/>
      <c r="R584" s="408"/>
      <c r="S584" s="408"/>
      <c r="T584" s="408"/>
      <c r="U584" s="408"/>
      <c r="V584" s="408"/>
      <c r="W584" s="408"/>
      <c r="X584" s="408"/>
      <c r="Y584" s="408"/>
      <c r="Z584" s="408"/>
      <c r="AA584" s="408"/>
      <c r="AB584" s="398"/>
      <c r="AC584" s="399"/>
      <c r="AD584" s="399"/>
      <c r="AE584" s="399"/>
      <c r="AF584" s="399"/>
      <c r="AG584" s="399"/>
      <c r="AH584" s="399"/>
      <c r="AI584" s="400"/>
      <c r="AJ584" s="398"/>
      <c r="AK584" s="399"/>
      <c r="AL584" s="399"/>
      <c r="AM584" s="399"/>
      <c r="AN584" s="399"/>
      <c r="AO584" s="399"/>
      <c r="AP584" s="399"/>
      <c r="AQ584" s="399"/>
      <c r="AR584" s="403"/>
    </row>
    <row r="586" spans="3:44" ht="18" customHeight="1">
      <c r="C586" s="850" t="s">
        <v>64</v>
      </c>
      <c r="D586" s="851"/>
      <c r="E586" s="851"/>
      <c r="F586" s="851"/>
      <c r="G586" s="851"/>
      <c r="H586" s="851"/>
      <c r="I586" s="851"/>
      <c r="J586" s="851"/>
      <c r="K586" s="851"/>
      <c r="L586" s="851"/>
      <c r="M586" s="851"/>
      <c r="N586" s="851"/>
      <c r="O586" s="851"/>
      <c r="P586" s="851"/>
      <c r="Q586" s="851"/>
      <c r="R586" s="851"/>
      <c r="S586" s="851"/>
      <c r="T586" s="851"/>
      <c r="U586" s="851"/>
      <c r="V586" s="851"/>
      <c r="W586" s="851"/>
      <c r="X586" s="851"/>
      <c r="Y586" s="851"/>
      <c r="Z586" s="851"/>
      <c r="AA586" s="851"/>
      <c r="AB586" s="851"/>
      <c r="AC586" s="851"/>
      <c r="AD586" s="851"/>
      <c r="AE586" s="851"/>
      <c r="AF586" s="851"/>
      <c r="AG586" s="851"/>
      <c r="AH586" s="851"/>
      <c r="AI586" s="851"/>
      <c r="AJ586" s="851"/>
      <c r="AK586" s="851"/>
      <c r="AL586" s="851"/>
      <c r="AM586" s="851"/>
      <c r="AN586" s="851"/>
      <c r="AO586" s="851"/>
      <c r="AP586" s="851"/>
      <c r="AQ586" s="851"/>
      <c r="AR586" s="852"/>
    </row>
    <row r="587" spans="3:44" ht="18" customHeight="1">
      <c r="C587" s="853"/>
      <c r="D587" s="854"/>
      <c r="E587" s="854"/>
      <c r="F587" s="854"/>
      <c r="G587" s="854"/>
      <c r="H587" s="854"/>
      <c r="I587" s="854"/>
      <c r="J587" s="854"/>
      <c r="K587" s="854"/>
      <c r="L587" s="854"/>
      <c r="M587" s="854"/>
      <c r="N587" s="854"/>
      <c r="O587" s="854"/>
      <c r="P587" s="854"/>
      <c r="Q587" s="854"/>
      <c r="R587" s="854"/>
      <c r="S587" s="854"/>
      <c r="T587" s="854"/>
      <c r="U587" s="854"/>
      <c r="V587" s="854"/>
      <c r="W587" s="854"/>
      <c r="X587" s="854"/>
      <c r="Y587" s="854"/>
      <c r="Z587" s="854"/>
      <c r="AA587" s="854"/>
      <c r="AB587" s="854"/>
      <c r="AC587" s="854"/>
      <c r="AD587" s="854"/>
      <c r="AE587" s="854"/>
      <c r="AF587" s="854"/>
      <c r="AG587" s="854"/>
      <c r="AH587" s="854"/>
      <c r="AI587" s="854"/>
      <c r="AJ587" s="854"/>
      <c r="AK587" s="854"/>
      <c r="AL587" s="854"/>
      <c r="AM587" s="854"/>
      <c r="AN587" s="854"/>
      <c r="AO587" s="854"/>
      <c r="AP587" s="854"/>
      <c r="AQ587" s="854"/>
      <c r="AR587" s="855"/>
    </row>
    <row r="588" spans="3:44" ht="18" customHeight="1">
      <c r="C588" s="856" t="s">
        <v>65</v>
      </c>
      <c r="D588" s="857"/>
      <c r="E588" s="857"/>
      <c r="F588" s="857"/>
      <c r="G588" s="860" t="s">
        <v>429</v>
      </c>
      <c r="H588" s="860"/>
      <c r="I588" s="860"/>
      <c r="J588" s="861"/>
      <c r="K588" s="864" t="s">
        <v>66</v>
      </c>
      <c r="L588" s="865"/>
      <c r="M588" s="865"/>
      <c r="N588" s="865"/>
      <c r="O588" s="526" t="s">
        <v>620</v>
      </c>
      <c r="P588" s="526"/>
      <c r="Q588" s="526"/>
      <c r="R588" s="526"/>
      <c r="S588" s="526"/>
      <c r="T588" s="526"/>
      <c r="U588" s="526"/>
      <c r="V588" s="526"/>
      <c r="W588" s="526"/>
      <c r="X588" s="526"/>
      <c r="Y588" s="526"/>
      <c r="Z588" s="526"/>
      <c r="AA588" s="526"/>
      <c r="AB588" s="526"/>
      <c r="AC588" s="526"/>
      <c r="AD588" s="526"/>
      <c r="AE588" s="526"/>
      <c r="AF588" s="526"/>
      <c r="AG588" s="526"/>
      <c r="AH588" s="526"/>
      <c r="AI588" s="526"/>
      <c r="AJ588" s="526"/>
      <c r="AK588" s="527"/>
      <c r="AL588" s="864" t="s">
        <v>67</v>
      </c>
      <c r="AM588" s="865"/>
      <c r="AN588" s="865"/>
      <c r="AO588" s="865"/>
      <c r="AP588" s="843" t="s">
        <v>194</v>
      </c>
      <c r="AQ588" s="843"/>
      <c r="AR588" s="844"/>
    </row>
    <row r="589" spans="3:44" ht="18" customHeight="1">
      <c r="C589" s="858"/>
      <c r="D589" s="859"/>
      <c r="E589" s="859"/>
      <c r="F589" s="859"/>
      <c r="G589" s="862"/>
      <c r="H589" s="862"/>
      <c r="I589" s="862"/>
      <c r="J589" s="863"/>
      <c r="K589" s="866"/>
      <c r="L589" s="867"/>
      <c r="M589" s="867"/>
      <c r="N589" s="867"/>
      <c r="O589" s="528"/>
      <c r="P589" s="528"/>
      <c r="Q589" s="528"/>
      <c r="R589" s="528"/>
      <c r="S589" s="528"/>
      <c r="T589" s="528"/>
      <c r="U589" s="528"/>
      <c r="V589" s="528"/>
      <c r="W589" s="528"/>
      <c r="X589" s="528"/>
      <c r="Y589" s="528"/>
      <c r="Z589" s="528"/>
      <c r="AA589" s="528"/>
      <c r="AB589" s="528"/>
      <c r="AC589" s="528"/>
      <c r="AD589" s="528"/>
      <c r="AE589" s="528"/>
      <c r="AF589" s="528"/>
      <c r="AG589" s="528"/>
      <c r="AH589" s="528"/>
      <c r="AI589" s="528"/>
      <c r="AJ589" s="528"/>
      <c r="AK589" s="529"/>
      <c r="AL589" s="866"/>
      <c r="AM589" s="867"/>
      <c r="AN589" s="867"/>
      <c r="AO589" s="867"/>
      <c r="AP589" s="845"/>
      <c r="AQ589" s="845"/>
      <c r="AR589" s="846"/>
    </row>
    <row r="591" spans="3:44" ht="18" customHeight="1">
      <c r="C591" s="794" t="s">
        <v>43</v>
      </c>
      <c r="D591" s="774"/>
      <c r="E591" s="775"/>
      <c r="F591" s="773" t="s">
        <v>68</v>
      </c>
      <c r="G591" s="774"/>
      <c r="H591" s="774"/>
      <c r="I591" s="774"/>
      <c r="J591" s="774"/>
      <c r="K591" s="774"/>
      <c r="L591" s="774"/>
      <c r="M591" s="774"/>
      <c r="N591" s="774"/>
      <c r="O591" s="774"/>
      <c r="P591" s="774"/>
      <c r="Q591" s="774"/>
      <c r="R591" s="774"/>
      <c r="S591" s="774"/>
      <c r="T591" s="774"/>
      <c r="U591" s="775"/>
      <c r="V591" s="773" t="s">
        <v>249</v>
      </c>
      <c r="W591" s="774"/>
      <c r="X591" s="775"/>
      <c r="Y591" s="847" t="s">
        <v>69</v>
      </c>
      <c r="Z591" s="848"/>
      <c r="AA591" s="848"/>
      <c r="AB591" s="848"/>
      <c r="AC591" s="848"/>
      <c r="AD591" s="848"/>
      <c r="AE591" s="848"/>
      <c r="AF591" s="849"/>
      <c r="AG591" s="847" t="s">
        <v>70</v>
      </c>
      <c r="AH591" s="848"/>
      <c r="AI591" s="848"/>
      <c r="AJ591" s="848"/>
      <c r="AK591" s="848"/>
      <c r="AL591" s="848"/>
      <c r="AM591" s="848"/>
      <c r="AN591" s="849"/>
      <c r="AO591" s="773" t="s">
        <v>71</v>
      </c>
      <c r="AP591" s="774"/>
      <c r="AQ591" s="774"/>
      <c r="AR591" s="779"/>
    </row>
    <row r="592" spans="3:44" ht="18" customHeight="1">
      <c r="C592" s="795"/>
      <c r="D592" s="777"/>
      <c r="E592" s="778"/>
      <c r="F592" s="776"/>
      <c r="G592" s="777"/>
      <c r="H592" s="777"/>
      <c r="I592" s="777"/>
      <c r="J592" s="777"/>
      <c r="K592" s="777"/>
      <c r="L592" s="777"/>
      <c r="M592" s="777"/>
      <c r="N592" s="777"/>
      <c r="O592" s="777"/>
      <c r="P592" s="777"/>
      <c r="Q592" s="777"/>
      <c r="R592" s="777"/>
      <c r="S592" s="777"/>
      <c r="T592" s="777"/>
      <c r="U592" s="778"/>
      <c r="V592" s="776"/>
      <c r="W592" s="777"/>
      <c r="X592" s="778"/>
      <c r="Y592" s="834" t="s">
        <v>72</v>
      </c>
      <c r="Z592" s="835"/>
      <c r="AA592" s="835"/>
      <c r="AB592" s="836"/>
      <c r="AC592" s="834" t="s">
        <v>73</v>
      </c>
      <c r="AD592" s="835"/>
      <c r="AE592" s="835"/>
      <c r="AF592" s="836"/>
      <c r="AG592" s="834" t="s">
        <v>72</v>
      </c>
      <c r="AH592" s="835"/>
      <c r="AI592" s="835"/>
      <c r="AJ592" s="836"/>
      <c r="AK592" s="834" t="s">
        <v>73</v>
      </c>
      <c r="AL592" s="835"/>
      <c r="AM592" s="835"/>
      <c r="AN592" s="836"/>
      <c r="AO592" s="776"/>
      <c r="AP592" s="777"/>
      <c r="AQ592" s="777"/>
      <c r="AR592" s="780"/>
    </row>
    <row r="593" spans="3:44" ht="18" customHeight="1">
      <c r="C593" s="781"/>
      <c r="D593" s="782"/>
      <c r="E593" s="783"/>
      <c r="F593" s="493"/>
      <c r="G593" s="493"/>
      <c r="H593" s="493"/>
      <c r="I593" s="493"/>
      <c r="J593" s="493"/>
      <c r="K593" s="493"/>
      <c r="L593" s="493"/>
      <c r="M593" s="493"/>
      <c r="N593" s="493"/>
      <c r="O593" s="493"/>
      <c r="P593" s="493"/>
      <c r="Q593" s="493"/>
      <c r="R593" s="493"/>
      <c r="S593" s="493"/>
      <c r="T593" s="493"/>
      <c r="U593" s="493"/>
      <c r="V593" s="837"/>
      <c r="W593" s="838"/>
      <c r="X593" s="839"/>
      <c r="Y593" s="837"/>
      <c r="Z593" s="838"/>
      <c r="AA593" s="838"/>
      <c r="AB593" s="839"/>
      <c r="AC593" s="868"/>
      <c r="AD593" s="869"/>
      <c r="AE593" s="869"/>
      <c r="AF593" s="870"/>
      <c r="AG593" s="491"/>
      <c r="AH593" s="491"/>
      <c r="AI593" s="491"/>
      <c r="AJ593" s="491"/>
      <c r="AK593" s="491"/>
      <c r="AL593" s="491"/>
      <c r="AM593" s="491"/>
      <c r="AN593" s="491"/>
      <c r="AO593" s="491"/>
      <c r="AP593" s="491"/>
      <c r="AQ593" s="491"/>
      <c r="AR593" s="492"/>
    </row>
    <row r="594" spans="3:44" ht="18" customHeight="1">
      <c r="C594" s="758"/>
      <c r="D594" s="759"/>
      <c r="E594" s="760"/>
      <c r="F594" s="493"/>
      <c r="G594" s="493"/>
      <c r="H594" s="493"/>
      <c r="I594" s="493"/>
      <c r="J594" s="493"/>
      <c r="K594" s="493"/>
      <c r="L594" s="493"/>
      <c r="M594" s="493"/>
      <c r="N594" s="493"/>
      <c r="O594" s="493"/>
      <c r="P594" s="493"/>
      <c r="Q594" s="493"/>
      <c r="R594" s="493"/>
      <c r="S594" s="493"/>
      <c r="T594" s="493"/>
      <c r="U594" s="493"/>
      <c r="V594" s="466"/>
      <c r="W594" s="467"/>
      <c r="X594" s="468"/>
      <c r="Y594" s="466"/>
      <c r="Z594" s="467"/>
      <c r="AA594" s="467"/>
      <c r="AB594" s="468"/>
      <c r="AC594" s="828"/>
      <c r="AD594" s="829"/>
      <c r="AE594" s="829"/>
      <c r="AF594" s="830"/>
      <c r="AG594" s="491"/>
      <c r="AH594" s="491"/>
      <c r="AI594" s="491"/>
      <c r="AJ594" s="491"/>
      <c r="AK594" s="491"/>
      <c r="AL594" s="491"/>
      <c r="AM594" s="491"/>
      <c r="AN594" s="491"/>
      <c r="AO594" s="491"/>
      <c r="AP594" s="491"/>
      <c r="AQ594" s="491"/>
      <c r="AR594" s="492"/>
    </row>
    <row r="595" spans="3:44" ht="18" customHeight="1">
      <c r="C595" s="758"/>
      <c r="D595" s="759"/>
      <c r="E595" s="760"/>
      <c r="F595" s="493"/>
      <c r="G595" s="493"/>
      <c r="H595" s="493"/>
      <c r="I595" s="493"/>
      <c r="J595" s="493"/>
      <c r="K595" s="493"/>
      <c r="L595" s="493"/>
      <c r="M595" s="493"/>
      <c r="N595" s="493"/>
      <c r="O595" s="493"/>
      <c r="P595" s="493"/>
      <c r="Q595" s="493"/>
      <c r="R595" s="493"/>
      <c r="S595" s="493"/>
      <c r="T595" s="493"/>
      <c r="U595" s="493"/>
      <c r="V595" s="466"/>
      <c r="W595" s="467"/>
      <c r="X595" s="468"/>
      <c r="Y595" s="466"/>
      <c r="Z595" s="467"/>
      <c r="AA595" s="467"/>
      <c r="AB595" s="468"/>
      <c r="AC595" s="828"/>
      <c r="AD595" s="829"/>
      <c r="AE595" s="829"/>
      <c r="AF595" s="830"/>
      <c r="AG595" s="491"/>
      <c r="AH595" s="491"/>
      <c r="AI595" s="491"/>
      <c r="AJ595" s="491"/>
      <c r="AK595" s="491"/>
      <c r="AL595" s="491"/>
      <c r="AM595" s="491"/>
      <c r="AN595" s="491"/>
      <c r="AO595" s="491"/>
      <c r="AP595" s="491"/>
      <c r="AQ595" s="491"/>
      <c r="AR595" s="492"/>
    </row>
    <row r="596" spans="3:44" ht="18" customHeight="1">
      <c r="C596" s="758"/>
      <c r="D596" s="759"/>
      <c r="E596" s="760"/>
      <c r="F596" s="493"/>
      <c r="G596" s="493"/>
      <c r="H596" s="493"/>
      <c r="I596" s="493"/>
      <c r="J596" s="493"/>
      <c r="K596" s="493"/>
      <c r="L596" s="493"/>
      <c r="M596" s="493"/>
      <c r="N596" s="493"/>
      <c r="O596" s="493"/>
      <c r="P596" s="493"/>
      <c r="Q596" s="493"/>
      <c r="R596" s="493"/>
      <c r="S596" s="493"/>
      <c r="T596" s="493"/>
      <c r="U596" s="493"/>
      <c r="V596" s="466"/>
      <c r="W596" s="467"/>
      <c r="X596" s="468"/>
      <c r="Y596" s="466"/>
      <c r="Z596" s="467"/>
      <c r="AA596" s="467"/>
      <c r="AB596" s="468"/>
      <c r="AC596" s="828"/>
      <c r="AD596" s="829"/>
      <c r="AE596" s="829"/>
      <c r="AF596" s="830"/>
      <c r="AG596" s="491"/>
      <c r="AH596" s="491"/>
      <c r="AI596" s="491"/>
      <c r="AJ596" s="491"/>
      <c r="AK596" s="491"/>
      <c r="AL596" s="491"/>
      <c r="AM596" s="491"/>
      <c r="AN596" s="491"/>
      <c r="AO596" s="491"/>
      <c r="AP596" s="491"/>
      <c r="AQ596" s="491"/>
      <c r="AR596" s="492"/>
    </row>
    <row r="597" spans="3:44" ht="18" customHeight="1">
      <c r="C597" s="758"/>
      <c r="D597" s="759"/>
      <c r="E597" s="760"/>
      <c r="F597" s="493"/>
      <c r="G597" s="493"/>
      <c r="H597" s="493"/>
      <c r="I597" s="493"/>
      <c r="J597" s="493"/>
      <c r="K597" s="493"/>
      <c r="L597" s="493"/>
      <c r="M597" s="493"/>
      <c r="N597" s="493"/>
      <c r="O597" s="493"/>
      <c r="P597" s="493"/>
      <c r="Q597" s="493"/>
      <c r="R597" s="493"/>
      <c r="S597" s="493"/>
      <c r="T597" s="493"/>
      <c r="U597" s="493"/>
      <c r="V597" s="466"/>
      <c r="W597" s="467"/>
      <c r="X597" s="468"/>
      <c r="Y597" s="466"/>
      <c r="Z597" s="467"/>
      <c r="AA597" s="467"/>
      <c r="AB597" s="468"/>
      <c r="AC597" s="828"/>
      <c r="AD597" s="829"/>
      <c r="AE597" s="829"/>
      <c r="AF597" s="830"/>
      <c r="AG597" s="491"/>
      <c r="AH597" s="491"/>
      <c r="AI597" s="491"/>
      <c r="AJ597" s="491"/>
      <c r="AK597" s="491"/>
      <c r="AL597" s="491"/>
      <c r="AM597" s="491"/>
      <c r="AN597" s="491"/>
      <c r="AO597" s="491"/>
      <c r="AP597" s="491"/>
      <c r="AQ597" s="491"/>
      <c r="AR597" s="492"/>
    </row>
    <row r="598" spans="3:44" ht="18" customHeight="1">
      <c r="C598" s="758"/>
      <c r="D598" s="759"/>
      <c r="E598" s="760"/>
      <c r="F598" s="493"/>
      <c r="G598" s="493"/>
      <c r="H598" s="493"/>
      <c r="I598" s="493"/>
      <c r="J598" s="493"/>
      <c r="K598" s="493"/>
      <c r="L598" s="493"/>
      <c r="M598" s="493"/>
      <c r="N598" s="493"/>
      <c r="O598" s="493"/>
      <c r="P598" s="493"/>
      <c r="Q598" s="493"/>
      <c r="R598" s="493"/>
      <c r="S598" s="493"/>
      <c r="T598" s="493"/>
      <c r="U598" s="493"/>
      <c r="V598" s="466"/>
      <c r="W598" s="467"/>
      <c r="X598" s="468"/>
      <c r="Y598" s="466"/>
      <c r="Z598" s="467"/>
      <c r="AA598" s="467"/>
      <c r="AB598" s="468"/>
      <c r="AC598" s="828"/>
      <c r="AD598" s="829"/>
      <c r="AE598" s="829"/>
      <c r="AF598" s="830"/>
      <c r="AG598" s="491"/>
      <c r="AH598" s="491"/>
      <c r="AI598" s="491"/>
      <c r="AJ598" s="491"/>
      <c r="AK598" s="491"/>
      <c r="AL598" s="491"/>
      <c r="AM598" s="491"/>
      <c r="AN598" s="491"/>
      <c r="AO598" s="491"/>
      <c r="AP598" s="491"/>
      <c r="AQ598" s="491"/>
      <c r="AR598" s="492"/>
    </row>
    <row r="599" spans="3:44" ht="18" customHeight="1">
      <c r="C599" s="758"/>
      <c r="D599" s="759"/>
      <c r="E599" s="760"/>
      <c r="F599" s="796"/>
      <c r="G599" s="797"/>
      <c r="H599" s="797"/>
      <c r="I599" s="797"/>
      <c r="J599" s="797"/>
      <c r="K599" s="797"/>
      <c r="L599" s="797"/>
      <c r="M599" s="797"/>
      <c r="N599" s="797"/>
      <c r="O599" s="797"/>
      <c r="P599" s="797"/>
      <c r="Q599" s="797"/>
      <c r="R599" s="797"/>
      <c r="S599" s="797"/>
      <c r="T599" s="797"/>
      <c r="U599" s="798"/>
      <c r="V599" s="466"/>
      <c r="W599" s="467"/>
      <c r="X599" s="468"/>
      <c r="Y599" s="466"/>
      <c r="Z599" s="467"/>
      <c r="AA599" s="467"/>
      <c r="AB599" s="468"/>
      <c r="AC599" s="828"/>
      <c r="AD599" s="829"/>
      <c r="AE599" s="829"/>
      <c r="AF599" s="830"/>
      <c r="AG599" s="466"/>
      <c r="AH599" s="467"/>
      <c r="AI599" s="467"/>
      <c r="AJ599" s="468"/>
      <c r="AK599" s="466"/>
      <c r="AL599" s="467"/>
      <c r="AM599" s="467"/>
      <c r="AN599" s="468"/>
      <c r="AO599" s="466"/>
      <c r="AP599" s="467"/>
      <c r="AQ599" s="467"/>
      <c r="AR599" s="823"/>
    </row>
    <row r="600" spans="3:44" ht="18" customHeight="1">
      <c r="C600" s="758"/>
      <c r="D600" s="759"/>
      <c r="E600" s="760"/>
      <c r="F600" s="796"/>
      <c r="G600" s="797"/>
      <c r="H600" s="797"/>
      <c r="I600" s="797"/>
      <c r="J600" s="797"/>
      <c r="K600" s="797"/>
      <c r="L600" s="797"/>
      <c r="M600" s="797"/>
      <c r="N600" s="797"/>
      <c r="O600" s="797"/>
      <c r="P600" s="797"/>
      <c r="Q600" s="797"/>
      <c r="R600" s="797"/>
      <c r="S600" s="797"/>
      <c r="T600" s="797"/>
      <c r="U600" s="798"/>
      <c r="V600" s="466"/>
      <c r="W600" s="467"/>
      <c r="X600" s="468"/>
      <c r="Y600" s="466"/>
      <c r="Z600" s="467"/>
      <c r="AA600" s="467"/>
      <c r="AB600" s="468"/>
      <c r="AC600" s="828"/>
      <c r="AD600" s="829"/>
      <c r="AE600" s="829"/>
      <c r="AF600" s="830"/>
      <c r="AG600" s="466"/>
      <c r="AH600" s="467"/>
      <c r="AI600" s="467"/>
      <c r="AJ600" s="468"/>
      <c r="AK600" s="466"/>
      <c r="AL600" s="467"/>
      <c r="AM600" s="467"/>
      <c r="AN600" s="468"/>
      <c r="AO600" s="466"/>
      <c r="AP600" s="467"/>
      <c r="AQ600" s="467"/>
      <c r="AR600" s="823"/>
    </row>
    <row r="601" spans="3:44" ht="18" customHeight="1">
      <c r="C601" s="743"/>
      <c r="D601" s="744"/>
      <c r="E601" s="744"/>
      <c r="F601" s="744"/>
      <c r="G601" s="744"/>
      <c r="H601" s="744"/>
      <c r="I601" s="744"/>
      <c r="J601" s="744"/>
      <c r="K601" s="744"/>
      <c r="L601" s="744"/>
      <c r="M601" s="744"/>
      <c r="N601" s="744"/>
      <c r="O601" s="744"/>
      <c r="P601" s="744"/>
      <c r="Q601" s="744"/>
      <c r="R601" s="744"/>
      <c r="S601" s="744"/>
      <c r="T601" s="744"/>
      <c r="U601" s="744"/>
      <c r="V601" s="744"/>
      <c r="W601" s="744"/>
      <c r="X601" s="824"/>
      <c r="Y601" s="825" t="s">
        <v>74</v>
      </c>
      <c r="Z601" s="826"/>
      <c r="AA601" s="826"/>
      <c r="AB601" s="826"/>
      <c r="AC601" s="826"/>
      <c r="AD601" s="826"/>
      <c r="AE601" s="826"/>
      <c r="AF601" s="826"/>
      <c r="AG601" s="826"/>
      <c r="AH601" s="826"/>
      <c r="AI601" s="826"/>
      <c r="AJ601" s="826"/>
      <c r="AK601" s="826"/>
      <c r="AL601" s="826"/>
      <c r="AM601" s="826"/>
      <c r="AN601" s="827"/>
      <c r="AO601" s="477">
        <f>SUM(AO593:AR600)</f>
        <v>0</v>
      </c>
      <c r="AP601" s="746"/>
      <c r="AQ601" s="746"/>
      <c r="AR601" s="747"/>
    </row>
    <row r="603" spans="3:44" ht="18" customHeight="1">
      <c r="C603" s="794" t="s">
        <v>43</v>
      </c>
      <c r="D603" s="774"/>
      <c r="E603" s="775"/>
      <c r="F603" s="773" t="s">
        <v>75</v>
      </c>
      <c r="G603" s="774"/>
      <c r="H603" s="774"/>
      <c r="I603" s="774"/>
      <c r="J603" s="774"/>
      <c r="K603" s="774"/>
      <c r="L603" s="774"/>
      <c r="M603" s="774"/>
      <c r="N603" s="774"/>
      <c r="O603" s="774"/>
      <c r="P603" s="774"/>
      <c r="Q603" s="774"/>
      <c r="R603" s="774"/>
      <c r="S603" s="774"/>
      <c r="T603" s="774"/>
      <c r="U603" s="774"/>
      <c r="V603" s="774"/>
      <c r="W603" s="774"/>
      <c r="X603" s="774"/>
      <c r="Y603" s="774"/>
      <c r="Z603" s="774"/>
      <c r="AA603" s="774"/>
      <c r="AB603" s="775"/>
      <c r="AC603" s="773" t="s">
        <v>76</v>
      </c>
      <c r="AD603" s="774"/>
      <c r="AE603" s="774"/>
      <c r="AF603" s="775"/>
      <c r="AG603" s="773" t="s">
        <v>249</v>
      </c>
      <c r="AH603" s="774"/>
      <c r="AI603" s="774"/>
      <c r="AJ603" s="775"/>
      <c r="AK603" s="773" t="s">
        <v>77</v>
      </c>
      <c r="AL603" s="774"/>
      <c r="AM603" s="774"/>
      <c r="AN603" s="775"/>
      <c r="AO603" s="773" t="s">
        <v>71</v>
      </c>
      <c r="AP603" s="774"/>
      <c r="AQ603" s="774"/>
      <c r="AR603" s="779"/>
    </row>
    <row r="604" spans="3:44" ht="18" customHeight="1">
      <c r="C604" s="795"/>
      <c r="D604" s="777"/>
      <c r="E604" s="778"/>
      <c r="F604" s="776"/>
      <c r="G604" s="777"/>
      <c r="H604" s="777"/>
      <c r="I604" s="777"/>
      <c r="J604" s="777"/>
      <c r="K604" s="777"/>
      <c r="L604" s="777"/>
      <c r="M604" s="777"/>
      <c r="N604" s="777"/>
      <c r="O604" s="777"/>
      <c r="P604" s="777"/>
      <c r="Q604" s="777"/>
      <c r="R604" s="777"/>
      <c r="S604" s="777"/>
      <c r="T604" s="777"/>
      <c r="U604" s="777"/>
      <c r="V604" s="777"/>
      <c r="W604" s="777"/>
      <c r="X604" s="777"/>
      <c r="Y604" s="777"/>
      <c r="Z604" s="777"/>
      <c r="AA604" s="777"/>
      <c r="AB604" s="778"/>
      <c r="AC604" s="776"/>
      <c r="AD604" s="777"/>
      <c r="AE604" s="777"/>
      <c r="AF604" s="778"/>
      <c r="AG604" s="776"/>
      <c r="AH604" s="777"/>
      <c r="AI604" s="777"/>
      <c r="AJ604" s="778"/>
      <c r="AK604" s="776"/>
      <c r="AL604" s="777"/>
      <c r="AM604" s="777"/>
      <c r="AN604" s="778"/>
      <c r="AO604" s="776"/>
      <c r="AP604" s="777"/>
      <c r="AQ604" s="777"/>
      <c r="AR604" s="780"/>
    </row>
    <row r="605" spans="3:44" ht="18" customHeight="1">
      <c r="C605" s="781" t="s">
        <v>940</v>
      </c>
      <c r="D605" s="782"/>
      <c r="E605" s="783"/>
      <c r="F605" s="493" t="s">
        <v>105</v>
      </c>
      <c r="G605" s="493"/>
      <c r="H605" s="493"/>
      <c r="I605" s="493"/>
      <c r="J605" s="493"/>
      <c r="K605" s="493"/>
      <c r="L605" s="493"/>
      <c r="M605" s="493"/>
      <c r="N605" s="493"/>
      <c r="O605" s="493"/>
      <c r="P605" s="493"/>
      <c r="Q605" s="493"/>
      <c r="R605" s="493"/>
      <c r="S605" s="493"/>
      <c r="T605" s="493"/>
      <c r="U605" s="493"/>
      <c r="V605" s="493"/>
      <c r="W605" s="493"/>
      <c r="X605" s="493"/>
      <c r="Y605" s="493"/>
      <c r="Z605" s="493"/>
      <c r="AA605" s="493"/>
      <c r="AB605" s="493"/>
      <c r="AC605" s="770"/>
      <c r="AD605" s="771"/>
      <c r="AE605" s="771"/>
      <c r="AF605" s="790"/>
      <c r="AG605" s="770">
        <v>15</v>
      </c>
      <c r="AH605" s="771"/>
      <c r="AI605" s="771"/>
      <c r="AJ605" s="790"/>
      <c r="AK605" s="449">
        <f>VLOOKUP(C605,[4]MÃODEOBRA!A$1:D$65536,4,FALSE)</f>
        <v>22.98488</v>
      </c>
      <c r="AL605" s="449"/>
      <c r="AM605" s="449"/>
      <c r="AN605" s="449"/>
      <c r="AO605" s="491">
        <f>ROUND(AG605*AK605,2)</f>
        <v>344.77</v>
      </c>
      <c r="AP605" s="491"/>
      <c r="AQ605" s="491"/>
      <c r="AR605" s="492"/>
    </row>
    <row r="606" spans="3:44" ht="18" customHeight="1">
      <c r="C606" s="758"/>
      <c r="D606" s="759"/>
      <c r="E606" s="760"/>
      <c r="F606" s="493"/>
      <c r="G606" s="493"/>
      <c r="H606" s="493"/>
      <c r="I606" s="493"/>
      <c r="J606" s="493"/>
      <c r="K606" s="493"/>
      <c r="L606" s="493"/>
      <c r="M606" s="493"/>
      <c r="N606" s="493"/>
      <c r="O606" s="493"/>
      <c r="P606" s="493"/>
      <c r="Q606" s="493"/>
      <c r="R606" s="493"/>
      <c r="S606" s="493"/>
      <c r="T606" s="493"/>
      <c r="U606" s="493"/>
      <c r="V606" s="493"/>
      <c r="W606" s="493"/>
      <c r="X606" s="493"/>
      <c r="Y606" s="493"/>
      <c r="Z606" s="493"/>
      <c r="AA606" s="493"/>
      <c r="AB606" s="493"/>
      <c r="AC606" s="740"/>
      <c r="AD606" s="741"/>
      <c r="AE606" s="741"/>
      <c r="AF606" s="757"/>
      <c r="AG606" s="740"/>
      <c r="AH606" s="741"/>
      <c r="AI606" s="741"/>
      <c r="AJ606" s="757"/>
      <c r="AK606" s="449"/>
      <c r="AL606" s="449"/>
      <c r="AM606" s="449"/>
      <c r="AN606" s="449"/>
      <c r="AO606" s="491"/>
      <c r="AP606" s="491"/>
      <c r="AQ606" s="491"/>
      <c r="AR606" s="492"/>
    </row>
    <row r="607" spans="3:44" ht="18" customHeight="1">
      <c r="C607" s="758"/>
      <c r="D607" s="759"/>
      <c r="E607" s="760"/>
      <c r="F607" s="796"/>
      <c r="G607" s="797"/>
      <c r="H607" s="797"/>
      <c r="I607" s="797"/>
      <c r="J607" s="797"/>
      <c r="K607" s="797"/>
      <c r="L607" s="797"/>
      <c r="M607" s="797"/>
      <c r="N607" s="797"/>
      <c r="O607" s="797"/>
      <c r="P607" s="797"/>
      <c r="Q607" s="797"/>
      <c r="R607" s="797"/>
      <c r="S607" s="797"/>
      <c r="T607" s="797"/>
      <c r="U607" s="797"/>
      <c r="V607" s="797"/>
      <c r="W607" s="797"/>
      <c r="X607" s="797"/>
      <c r="Y607" s="797"/>
      <c r="Z607" s="797"/>
      <c r="AA607" s="797"/>
      <c r="AB607" s="798"/>
      <c r="AC607" s="740"/>
      <c r="AD607" s="741"/>
      <c r="AE607" s="741"/>
      <c r="AF607" s="757"/>
      <c r="AG607" s="740"/>
      <c r="AH607" s="741"/>
      <c r="AI607" s="741"/>
      <c r="AJ607" s="757"/>
      <c r="AK607" s="740"/>
      <c r="AL607" s="741"/>
      <c r="AM607" s="741"/>
      <c r="AN607" s="757"/>
      <c r="AO607" s="466"/>
      <c r="AP607" s="467"/>
      <c r="AQ607" s="467"/>
      <c r="AR607" s="823"/>
    </row>
    <row r="608" spans="3:44" ht="18" customHeight="1">
      <c r="C608" s="758"/>
      <c r="D608" s="759"/>
      <c r="E608" s="760"/>
      <c r="F608" s="796"/>
      <c r="G608" s="797"/>
      <c r="H608" s="797"/>
      <c r="I608" s="797"/>
      <c r="J608" s="797"/>
      <c r="K608" s="797"/>
      <c r="L608" s="797"/>
      <c r="M608" s="797"/>
      <c r="N608" s="797"/>
      <c r="O608" s="797"/>
      <c r="P608" s="797"/>
      <c r="Q608" s="797"/>
      <c r="R608" s="797"/>
      <c r="S608" s="797"/>
      <c r="T608" s="797"/>
      <c r="U608" s="797"/>
      <c r="V608" s="797"/>
      <c r="W608" s="797"/>
      <c r="X608" s="797"/>
      <c r="Y608" s="797"/>
      <c r="Z608" s="797"/>
      <c r="AA608" s="797"/>
      <c r="AB608" s="798"/>
      <c r="AC608" s="740"/>
      <c r="AD608" s="741"/>
      <c r="AE608" s="741"/>
      <c r="AF608" s="757"/>
      <c r="AG608" s="740"/>
      <c r="AH608" s="741"/>
      <c r="AI608" s="741"/>
      <c r="AJ608" s="757"/>
      <c r="AK608" s="740"/>
      <c r="AL608" s="741"/>
      <c r="AM608" s="741"/>
      <c r="AN608" s="757"/>
      <c r="AO608" s="466"/>
      <c r="AP608" s="467"/>
      <c r="AQ608" s="467"/>
      <c r="AR608" s="823"/>
    </row>
    <row r="609" spans="3:44" ht="18" customHeight="1">
      <c r="C609" s="758"/>
      <c r="D609" s="759"/>
      <c r="E609" s="760"/>
      <c r="F609" s="796"/>
      <c r="G609" s="797"/>
      <c r="H609" s="797"/>
      <c r="I609" s="797"/>
      <c r="J609" s="797"/>
      <c r="K609" s="797"/>
      <c r="L609" s="797"/>
      <c r="M609" s="797"/>
      <c r="N609" s="797"/>
      <c r="O609" s="797"/>
      <c r="P609" s="797"/>
      <c r="Q609" s="797"/>
      <c r="R609" s="797"/>
      <c r="S609" s="797"/>
      <c r="T609" s="797"/>
      <c r="U609" s="797"/>
      <c r="V609" s="797"/>
      <c r="W609" s="797"/>
      <c r="X609" s="797"/>
      <c r="Y609" s="797"/>
      <c r="Z609" s="797"/>
      <c r="AA609" s="797"/>
      <c r="AB609" s="798"/>
      <c r="AC609" s="740"/>
      <c r="AD609" s="741"/>
      <c r="AE609" s="741"/>
      <c r="AF609" s="757"/>
      <c r="AG609" s="740"/>
      <c r="AH609" s="741"/>
      <c r="AI609" s="741"/>
      <c r="AJ609" s="757"/>
      <c r="AK609" s="740"/>
      <c r="AL609" s="741"/>
      <c r="AM609" s="741"/>
      <c r="AN609" s="757"/>
      <c r="AO609" s="466"/>
      <c r="AP609" s="467"/>
      <c r="AQ609" s="467"/>
      <c r="AR609" s="823"/>
    </row>
    <row r="610" spans="3:44" ht="18" customHeight="1">
      <c r="C610" s="758"/>
      <c r="D610" s="759"/>
      <c r="E610" s="760"/>
      <c r="F610" s="796"/>
      <c r="G610" s="797"/>
      <c r="H610" s="797"/>
      <c r="I610" s="797"/>
      <c r="J610" s="797"/>
      <c r="K610" s="797"/>
      <c r="L610" s="797"/>
      <c r="M610" s="797"/>
      <c r="N610" s="797"/>
      <c r="O610" s="797"/>
      <c r="P610" s="797"/>
      <c r="Q610" s="797"/>
      <c r="R610" s="797"/>
      <c r="S610" s="797"/>
      <c r="T610" s="797"/>
      <c r="U610" s="797"/>
      <c r="V610" s="797"/>
      <c r="W610" s="797"/>
      <c r="X610" s="797"/>
      <c r="Y610" s="797"/>
      <c r="Z610" s="797"/>
      <c r="AA610" s="797"/>
      <c r="AB610" s="798"/>
      <c r="AC610" s="740"/>
      <c r="AD610" s="741"/>
      <c r="AE610" s="741"/>
      <c r="AF610" s="757"/>
      <c r="AG610" s="740"/>
      <c r="AH610" s="741"/>
      <c r="AI610" s="741"/>
      <c r="AJ610" s="757"/>
      <c r="AK610" s="740"/>
      <c r="AL610" s="741"/>
      <c r="AM610" s="741"/>
      <c r="AN610" s="757"/>
      <c r="AO610" s="466"/>
      <c r="AP610" s="467"/>
      <c r="AQ610" s="467"/>
      <c r="AR610" s="823"/>
    </row>
    <row r="611" spans="3:44" ht="18" customHeight="1">
      <c r="C611" s="758"/>
      <c r="D611" s="759"/>
      <c r="E611" s="760"/>
      <c r="F611" s="796"/>
      <c r="G611" s="797"/>
      <c r="H611" s="797"/>
      <c r="I611" s="797"/>
      <c r="J611" s="797"/>
      <c r="K611" s="797"/>
      <c r="L611" s="797"/>
      <c r="M611" s="797"/>
      <c r="N611" s="797"/>
      <c r="O611" s="797"/>
      <c r="P611" s="797"/>
      <c r="Q611" s="797"/>
      <c r="R611" s="797"/>
      <c r="S611" s="797"/>
      <c r="T611" s="797"/>
      <c r="U611" s="797"/>
      <c r="V611" s="797"/>
      <c r="W611" s="797"/>
      <c r="X611" s="797"/>
      <c r="Y611" s="797"/>
      <c r="Z611" s="797"/>
      <c r="AA611" s="797"/>
      <c r="AB611" s="798"/>
      <c r="AC611" s="740"/>
      <c r="AD611" s="741"/>
      <c r="AE611" s="741"/>
      <c r="AF611" s="757"/>
      <c r="AG611" s="740"/>
      <c r="AH611" s="741"/>
      <c r="AI611" s="741"/>
      <c r="AJ611" s="757"/>
      <c r="AK611" s="740"/>
      <c r="AL611" s="741"/>
      <c r="AM611" s="741"/>
      <c r="AN611" s="757"/>
      <c r="AO611" s="466"/>
      <c r="AP611" s="467"/>
      <c r="AQ611" s="467"/>
      <c r="AR611" s="823"/>
    </row>
    <row r="612" spans="3:44" ht="18" customHeight="1">
      <c r="C612" s="758"/>
      <c r="D612" s="759"/>
      <c r="E612" s="760"/>
      <c r="F612" s="796"/>
      <c r="G612" s="797"/>
      <c r="H612" s="797"/>
      <c r="I612" s="797"/>
      <c r="J612" s="797"/>
      <c r="K612" s="797"/>
      <c r="L612" s="797"/>
      <c r="M612" s="797"/>
      <c r="N612" s="797"/>
      <c r="O612" s="797"/>
      <c r="P612" s="797"/>
      <c r="Q612" s="797"/>
      <c r="R612" s="797"/>
      <c r="S612" s="797"/>
      <c r="T612" s="797"/>
      <c r="U612" s="797"/>
      <c r="V612" s="797"/>
      <c r="W612" s="797"/>
      <c r="X612" s="797"/>
      <c r="Y612" s="797"/>
      <c r="Z612" s="797"/>
      <c r="AA612" s="797"/>
      <c r="AB612" s="798"/>
      <c r="AC612" s="740"/>
      <c r="AD612" s="741"/>
      <c r="AE612" s="741"/>
      <c r="AF612" s="757"/>
      <c r="AG612" s="740"/>
      <c r="AH612" s="741"/>
      <c r="AI612" s="741"/>
      <c r="AJ612" s="757"/>
      <c r="AK612" s="740"/>
      <c r="AL612" s="741"/>
      <c r="AM612" s="741"/>
      <c r="AN612" s="757"/>
      <c r="AO612" s="466"/>
      <c r="AP612" s="467"/>
      <c r="AQ612" s="467"/>
      <c r="AR612" s="823"/>
    </row>
    <row r="613" spans="3:44" ht="18" customHeight="1">
      <c r="C613" s="814"/>
      <c r="D613" s="815"/>
      <c r="E613" s="815"/>
      <c r="F613" s="815"/>
      <c r="G613" s="815"/>
      <c r="H613" s="815"/>
      <c r="I613" s="815"/>
      <c r="J613" s="815"/>
      <c r="K613" s="815"/>
      <c r="L613" s="815"/>
      <c r="M613" s="815"/>
      <c r="N613" s="815"/>
      <c r="O613" s="815"/>
      <c r="P613" s="815"/>
      <c r="Q613" s="815"/>
      <c r="R613" s="815"/>
      <c r="S613" s="815"/>
      <c r="T613" s="815"/>
      <c r="U613" s="815"/>
      <c r="V613" s="815"/>
      <c r="W613" s="815"/>
      <c r="X613" s="815"/>
      <c r="Y613" s="816" t="s">
        <v>78</v>
      </c>
      <c r="Z613" s="816"/>
      <c r="AA613" s="816"/>
      <c r="AB613" s="816"/>
      <c r="AC613" s="816"/>
      <c r="AD613" s="816"/>
      <c r="AE613" s="816"/>
      <c r="AF613" s="483"/>
      <c r="AG613" s="817" t="s">
        <v>267</v>
      </c>
      <c r="AH613" s="818"/>
      <c r="AI613" s="818"/>
      <c r="AJ613" s="819"/>
      <c r="AK613" s="466">
        <f>SUM(AO605:AR612)</f>
        <v>344.77</v>
      </c>
      <c r="AL613" s="467"/>
      <c r="AM613" s="467"/>
      <c r="AN613" s="468"/>
      <c r="AO613" s="820">
        <f>ROUND(AG613*AK613,2)</f>
        <v>70.709999999999994</v>
      </c>
      <c r="AP613" s="821"/>
      <c r="AQ613" s="821"/>
      <c r="AR613" s="822"/>
    </row>
    <row r="614" spans="3:44" ht="18" customHeight="1">
      <c r="C614" s="743"/>
      <c r="D614" s="744"/>
      <c r="E614" s="744"/>
      <c r="F614" s="744"/>
      <c r="G614" s="744"/>
      <c r="H614" s="744"/>
      <c r="I614" s="744"/>
      <c r="J614" s="744"/>
      <c r="K614" s="744"/>
      <c r="L614" s="744"/>
      <c r="M614" s="744"/>
      <c r="N614" s="744"/>
      <c r="O614" s="744"/>
      <c r="P614" s="744"/>
      <c r="Q614" s="744"/>
      <c r="R614" s="744"/>
      <c r="S614" s="744"/>
      <c r="T614" s="744"/>
      <c r="U614" s="744"/>
      <c r="V614" s="744"/>
      <c r="W614" s="744"/>
      <c r="X614" s="744"/>
      <c r="Y614" s="745" t="s">
        <v>79</v>
      </c>
      <c r="Z614" s="745"/>
      <c r="AA614" s="745"/>
      <c r="AB614" s="745"/>
      <c r="AC614" s="745"/>
      <c r="AD614" s="745"/>
      <c r="AE614" s="745"/>
      <c r="AF614" s="745"/>
      <c r="AG614" s="745"/>
      <c r="AH614" s="745"/>
      <c r="AI614" s="745"/>
      <c r="AJ614" s="745"/>
      <c r="AK614" s="745"/>
      <c r="AL614" s="745"/>
      <c r="AM614" s="745"/>
      <c r="AN614" s="430"/>
      <c r="AO614" s="477">
        <f>SUM(AO605:AR613)</f>
        <v>415.47999999999996</v>
      </c>
      <c r="AP614" s="746"/>
      <c r="AQ614" s="746"/>
      <c r="AR614" s="747"/>
    </row>
    <row r="616" spans="3:44" ht="18" customHeight="1">
      <c r="C616" s="802"/>
      <c r="D616" s="803"/>
      <c r="E616" s="803"/>
      <c r="F616" s="803"/>
      <c r="G616" s="803"/>
      <c r="H616" s="803"/>
      <c r="I616" s="803"/>
      <c r="J616" s="803"/>
      <c r="K616" s="803"/>
      <c r="L616" s="803"/>
      <c r="M616" s="803"/>
      <c r="N616" s="803"/>
      <c r="O616" s="803"/>
      <c r="P616" s="803"/>
      <c r="Q616" s="803"/>
      <c r="R616" s="803"/>
      <c r="S616" s="803"/>
      <c r="T616" s="803"/>
      <c r="U616" s="803"/>
      <c r="V616" s="803"/>
      <c r="W616" s="803"/>
      <c r="X616" s="803"/>
      <c r="Y616" s="804" t="s">
        <v>80</v>
      </c>
      <c r="Z616" s="805"/>
      <c r="AA616" s="805"/>
      <c r="AB616" s="805"/>
      <c r="AC616" s="805"/>
      <c r="AD616" s="805"/>
      <c r="AE616" s="805"/>
      <c r="AF616" s="805"/>
      <c r="AG616" s="805"/>
      <c r="AH616" s="805"/>
      <c r="AI616" s="805"/>
      <c r="AJ616" s="805"/>
      <c r="AK616" s="805"/>
      <c r="AL616" s="805"/>
      <c r="AM616" s="805"/>
      <c r="AN616" s="806"/>
      <c r="AO616" s="807">
        <f>AO601+AO614</f>
        <v>415.47999999999996</v>
      </c>
      <c r="AP616" s="808"/>
      <c r="AQ616" s="808"/>
      <c r="AR616" s="809"/>
    </row>
    <row r="617" spans="3:44" ht="18" customHeight="1">
      <c r="C617" s="810" t="s">
        <v>81</v>
      </c>
      <c r="D617" s="745"/>
      <c r="E617" s="745"/>
      <c r="F617" s="745"/>
      <c r="G617" s="745"/>
      <c r="H617" s="745"/>
      <c r="I617" s="745"/>
      <c r="J617" s="745"/>
      <c r="K617" s="745"/>
      <c r="L617" s="745"/>
      <c r="M617" s="745"/>
      <c r="N617" s="745"/>
      <c r="O617" s="745"/>
      <c r="P617" s="430"/>
      <c r="Q617" s="477">
        <v>1</v>
      </c>
      <c r="R617" s="746"/>
      <c r="S617" s="746"/>
      <c r="T617" s="746"/>
      <c r="U617" s="746"/>
      <c r="V617" s="745" t="s">
        <v>194</v>
      </c>
      <c r="W617" s="745"/>
      <c r="X617" s="430"/>
      <c r="Y617" s="804" t="s">
        <v>82</v>
      </c>
      <c r="Z617" s="805"/>
      <c r="AA617" s="805"/>
      <c r="AB617" s="805"/>
      <c r="AC617" s="805"/>
      <c r="AD617" s="805"/>
      <c r="AE617" s="805"/>
      <c r="AF617" s="805"/>
      <c r="AG617" s="805"/>
      <c r="AH617" s="805"/>
      <c r="AI617" s="805"/>
      <c r="AJ617" s="805"/>
      <c r="AK617" s="805"/>
      <c r="AL617" s="805"/>
      <c r="AM617" s="805"/>
      <c r="AN617" s="806"/>
      <c r="AO617" s="811">
        <f>ROUND(AO616/Q617,2)</f>
        <v>415.48</v>
      </c>
      <c r="AP617" s="812"/>
      <c r="AQ617" s="812"/>
      <c r="AR617" s="813"/>
    </row>
    <row r="619" spans="3:44" ht="18" customHeight="1">
      <c r="C619" s="794" t="s">
        <v>43</v>
      </c>
      <c r="D619" s="774"/>
      <c r="E619" s="775"/>
      <c r="F619" s="773" t="s">
        <v>83</v>
      </c>
      <c r="G619" s="774"/>
      <c r="H619" s="774"/>
      <c r="I619" s="774"/>
      <c r="J619" s="774"/>
      <c r="K619" s="774"/>
      <c r="L619" s="774"/>
      <c r="M619" s="774"/>
      <c r="N619" s="774"/>
      <c r="O619" s="774"/>
      <c r="P619" s="774"/>
      <c r="Q619" s="774"/>
      <c r="R619" s="774"/>
      <c r="S619" s="774"/>
      <c r="T619" s="774"/>
      <c r="U619" s="774"/>
      <c r="V619" s="774"/>
      <c r="W619" s="774"/>
      <c r="X619" s="774"/>
      <c r="Y619" s="774"/>
      <c r="Z619" s="774"/>
      <c r="AA619" s="774"/>
      <c r="AB619" s="775"/>
      <c r="AC619" s="773" t="s">
        <v>84</v>
      </c>
      <c r="AD619" s="774"/>
      <c r="AE619" s="774"/>
      <c r="AF619" s="775"/>
      <c r="AG619" s="773" t="s">
        <v>85</v>
      </c>
      <c r="AH619" s="774"/>
      <c r="AI619" s="774"/>
      <c r="AJ619" s="775"/>
      <c r="AK619" s="773" t="s">
        <v>86</v>
      </c>
      <c r="AL619" s="774"/>
      <c r="AM619" s="774"/>
      <c r="AN619" s="775"/>
      <c r="AO619" s="773" t="s">
        <v>87</v>
      </c>
      <c r="AP619" s="774"/>
      <c r="AQ619" s="774"/>
      <c r="AR619" s="779"/>
    </row>
    <row r="620" spans="3:44" ht="18" customHeight="1">
      <c r="C620" s="795"/>
      <c r="D620" s="777"/>
      <c r="E620" s="778"/>
      <c r="F620" s="776"/>
      <c r="G620" s="777"/>
      <c r="H620" s="777"/>
      <c r="I620" s="777"/>
      <c r="J620" s="777"/>
      <c r="K620" s="777"/>
      <c r="L620" s="777"/>
      <c r="M620" s="777"/>
      <c r="N620" s="777"/>
      <c r="O620" s="777"/>
      <c r="P620" s="777"/>
      <c r="Q620" s="777"/>
      <c r="R620" s="777"/>
      <c r="S620" s="777"/>
      <c r="T620" s="777"/>
      <c r="U620" s="777"/>
      <c r="V620" s="777"/>
      <c r="W620" s="777"/>
      <c r="X620" s="777"/>
      <c r="Y620" s="777"/>
      <c r="Z620" s="777"/>
      <c r="AA620" s="777"/>
      <c r="AB620" s="778"/>
      <c r="AC620" s="776"/>
      <c r="AD620" s="777"/>
      <c r="AE620" s="777"/>
      <c r="AF620" s="778"/>
      <c r="AG620" s="776"/>
      <c r="AH620" s="777"/>
      <c r="AI620" s="777"/>
      <c r="AJ620" s="778"/>
      <c r="AK620" s="776"/>
      <c r="AL620" s="777"/>
      <c r="AM620" s="777"/>
      <c r="AN620" s="778"/>
      <c r="AO620" s="776"/>
      <c r="AP620" s="777"/>
      <c r="AQ620" s="777"/>
      <c r="AR620" s="780"/>
    </row>
    <row r="621" spans="3:44" ht="18" customHeight="1">
      <c r="C621" s="758" t="s">
        <v>857</v>
      </c>
      <c r="D621" s="759"/>
      <c r="E621" s="760"/>
      <c r="F621" s="796" t="s">
        <v>374</v>
      </c>
      <c r="G621" s="797"/>
      <c r="H621" s="797"/>
      <c r="I621" s="797"/>
      <c r="J621" s="797"/>
      <c r="K621" s="797"/>
      <c r="L621" s="797"/>
      <c r="M621" s="797"/>
      <c r="N621" s="797"/>
      <c r="O621" s="797"/>
      <c r="P621" s="797"/>
      <c r="Q621" s="797"/>
      <c r="R621" s="797"/>
      <c r="S621" s="797"/>
      <c r="T621" s="797"/>
      <c r="U621" s="797"/>
      <c r="V621" s="797"/>
      <c r="W621" s="797"/>
      <c r="X621" s="797"/>
      <c r="Y621" s="797"/>
      <c r="Z621" s="797"/>
      <c r="AA621" s="797"/>
      <c r="AB621" s="798"/>
      <c r="AC621" s="799" t="s">
        <v>245</v>
      </c>
      <c r="AD621" s="800"/>
      <c r="AE621" s="800"/>
      <c r="AF621" s="801"/>
      <c r="AG621" s="466">
        <f>TRUNC(301.73/1.2031,2)</f>
        <v>250.79</v>
      </c>
      <c r="AH621" s="467"/>
      <c r="AI621" s="467"/>
      <c r="AJ621" s="468"/>
      <c r="AK621" s="737">
        <v>0.86399999999999999</v>
      </c>
      <c r="AL621" s="738"/>
      <c r="AM621" s="738"/>
      <c r="AN621" s="739"/>
      <c r="AO621" s="740">
        <f>ROUND(AG621*AK621,2)</f>
        <v>216.68</v>
      </c>
      <c r="AP621" s="741"/>
      <c r="AQ621" s="741"/>
      <c r="AR621" s="742"/>
    </row>
    <row r="622" spans="3:44" ht="18" customHeight="1">
      <c r="C622" s="758" t="s">
        <v>1377</v>
      </c>
      <c r="D622" s="759"/>
      <c r="E622" s="760"/>
      <c r="F622" s="796" t="s">
        <v>417</v>
      </c>
      <c r="G622" s="797"/>
      <c r="H622" s="797"/>
      <c r="I622" s="797"/>
      <c r="J622" s="797"/>
      <c r="K622" s="797"/>
      <c r="L622" s="797"/>
      <c r="M622" s="797"/>
      <c r="N622" s="797"/>
      <c r="O622" s="797"/>
      <c r="P622" s="797"/>
      <c r="Q622" s="797"/>
      <c r="R622" s="797"/>
      <c r="S622" s="797"/>
      <c r="T622" s="797"/>
      <c r="U622" s="797"/>
      <c r="V622" s="797"/>
      <c r="W622" s="797"/>
      <c r="X622" s="797"/>
      <c r="Y622" s="797"/>
      <c r="Z622" s="797"/>
      <c r="AA622" s="797"/>
      <c r="AB622" s="798"/>
      <c r="AC622" s="799" t="s">
        <v>245</v>
      </c>
      <c r="AD622" s="800"/>
      <c r="AE622" s="800"/>
      <c r="AF622" s="801"/>
      <c r="AG622" s="466">
        <f>TRUNC(373.21/1.2031,2)</f>
        <v>310.2</v>
      </c>
      <c r="AH622" s="467"/>
      <c r="AI622" s="467"/>
      <c r="AJ622" s="468"/>
      <c r="AK622" s="737">
        <v>5.4539999999999997</v>
      </c>
      <c r="AL622" s="738"/>
      <c r="AM622" s="738"/>
      <c r="AN622" s="739"/>
      <c r="AO622" s="740">
        <f>ROUND(AG622*AK622,2)</f>
        <v>1691.83</v>
      </c>
      <c r="AP622" s="741"/>
      <c r="AQ622" s="741"/>
      <c r="AR622" s="742"/>
    </row>
    <row r="623" spans="3:44" ht="18" customHeight="1">
      <c r="C623" s="758" t="s">
        <v>1376</v>
      </c>
      <c r="D623" s="759"/>
      <c r="E623" s="760"/>
      <c r="F623" s="796" t="s">
        <v>370</v>
      </c>
      <c r="G623" s="797"/>
      <c r="H623" s="797"/>
      <c r="I623" s="797"/>
      <c r="J623" s="797"/>
      <c r="K623" s="797"/>
      <c r="L623" s="797"/>
      <c r="M623" s="797"/>
      <c r="N623" s="797"/>
      <c r="O623" s="797"/>
      <c r="P623" s="797"/>
      <c r="Q623" s="797"/>
      <c r="R623" s="797"/>
      <c r="S623" s="797"/>
      <c r="T623" s="797"/>
      <c r="U623" s="797"/>
      <c r="V623" s="797"/>
      <c r="W623" s="797"/>
      <c r="X623" s="797"/>
      <c r="Y623" s="797"/>
      <c r="Z623" s="797"/>
      <c r="AA623" s="797"/>
      <c r="AB623" s="798"/>
      <c r="AC623" s="799" t="s">
        <v>309</v>
      </c>
      <c r="AD623" s="800"/>
      <c r="AE623" s="800"/>
      <c r="AF623" s="801"/>
      <c r="AG623" s="466">
        <f>TRUNC(43.8/1.2031,2)</f>
        <v>36.4</v>
      </c>
      <c r="AH623" s="467"/>
      <c r="AI623" s="467"/>
      <c r="AJ623" s="468"/>
      <c r="AK623" s="737">
        <v>65.28</v>
      </c>
      <c r="AL623" s="738"/>
      <c r="AM623" s="738"/>
      <c r="AN623" s="739"/>
      <c r="AO623" s="740">
        <f>ROUND(AG623*AK623,2)</f>
        <v>2376.19</v>
      </c>
      <c r="AP623" s="741"/>
      <c r="AQ623" s="741"/>
      <c r="AR623" s="742"/>
    </row>
    <row r="624" spans="3:44" ht="18" customHeight="1">
      <c r="C624" s="758" t="s">
        <v>859</v>
      </c>
      <c r="D624" s="759"/>
      <c r="E624" s="760"/>
      <c r="F624" s="796" t="s">
        <v>441</v>
      </c>
      <c r="G624" s="797"/>
      <c r="H624" s="797"/>
      <c r="I624" s="797"/>
      <c r="J624" s="797"/>
      <c r="K624" s="797"/>
      <c r="L624" s="797"/>
      <c r="M624" s="797"/>
      <c r="N624" s="797"/>
      <c r="O624" s="797"/>
      <c r="P624" s="797"/>
      <c r="Q624" s="797"/>
      <c r="R624" s="797"/>
      <c r="S624" s="797"/>
      <c r="T624" s="797"/>
      <c r="U624" s="797"/>
      <c r="V624" s="797"/>
      <c r="W624" s="797"/>
      <c r="X624" s="797"/>
      <c r="Y624" s="797"/>
      <c r="Z624" s="797"/>
      <c r="AA624" s="797"/>
      <c r="AB624" s="798"/>
      <c r="AC624" s="799" t="s">
        <v>194</v>
      </c>
      <c r="AD624" s="800"/>
      <c r="AE624" s="800"/>
      <c r="AF624" s="801"/>
      <c r="AG624" s="466">
        <f>TRUNC(216.57/1.2031,2)</f>
        <v>180</v>
      </c>
      <c r="AH624" s="467"/>
      <c r="AI624" s="467"/>
      <c r="AJ624" s="468"/>
      <c r="AK624" s="737">
        <v>1</v>
      </c>
      <c r="AL624" s="738"/>
      <c r="AM624" s="738"/>
      <c r="AN624" s="739"/>
      <c r="AO624" s="740">
        <f>ROUND(AG624*AK624,2)</f>
        <v>180</v>
      </c>
      <c r="AP624" s="741"/>
      <c r="AQ624" s="741"/>
      <c r="AR624" s="742"/>
    </row>
    <row r="625" spans="3:44" ht="18" customHeight="1">
      <c r="C625" s="758" t="s">
        <v>1384</v>
      </c>
      <c r="D625" s="759"/>
      <c r="E625" s="760"/>
      <c r="F625" s="796" t="s">
        <v>371</v>
      </c>
      <c r="G625" s="797"/>
      <c r="H625" s="797"/>
      <c r="I625" s="797"/>
      <c r="J625" s="797"/>
      <c r="K625" s="797"/>
      <c r="L625" s="797"/>
      <c r="M625" s="797"/>
      <c r="N625" s="797"/>
      <c r="O625" s="797"/>
      <c r="P625" s="797"/>
      <c r="Q625" s="797"/>
      <c r="R625" s="797"/>
      <c r="S625" s="797"/>
      <c r="T625" s="797"/>
      <c r="U625" s="797"/>
      <c r="V625" s="797"/>
      <c r="W625" s="797"/>
      <c r="X625" s="797"/>
      <c r="Y625" s="797"/>
      <c r="Z625" s="797"/>
      <c r="AA625" s="797"/>
      <c r="AB625" s="798"/>
      <c r="AC625" s="799" t="s">
        <v>246</v>
      </c>
      <c r="AD625" s="800"/>
      <c r="AE625" s="800"/>
      <c r="AF625" s="801"/>
      <c r="AG625" s="466">
        <f>TRUNC(5.97/1.2031,2)</f>
        <v>4.96</v>
      </c>
      <c r="AH625" s="467"/>
      <c r="AI625" s="467"/>
      <c r="AJ625" s="468"/>
      <c r="AK625" s="737">
        <v>40</v>
      </c>
      <c r="AL625" s="738"/>
      <c r="AM625" s="738"/>
      <c r="AN625" s="739"/>
      <c r="AO625" s="740">
        <f>ROUND(AG625*AK625,2)</f>
        <v>198.4</v>
      </c>
      <c r="AP625" s="741"/>
      <c r="AQ625" s="741"/>
      <c r="AR625" s="742"/>
    </row>
    <row r="626" spans="3:44" ht="18" customHeight="1">
      <c r="C626" s="758"/>
      <c r="D626" s="759"/>
      <c r="E626" s="760"/>
      <c r="F626" s="796"/>
      <c r="G626" s="797"/>
      <c r="H626" s="797"/>
      <c r="I626" s="797"/>
      <c r="J626" s="797"/>
      <c r="K626" s="797"/>
      <c r="L626" s="797"/>
      <c r="M626" s="797"/>
      <c r="N626" s="797"/>
      <c r="O626" s="797"/>
      <c r="P626" s="797"/>
      <c r="Q626" s="797"/>
      <c r="R626" s="797"/>
      <c r="S626" s="797"/>
      <c r="T626" s="797"/>
      <c r="U626" s="797"/>
      <c r="V626" s="797"/>
      <c r="W626" s="797"/>
      <c r="X626" s="797"/>
      <c r="Y626" s="797"/>
      <c r="Z626" s="797"/>
      <c r="AA626" s="797"/>
      <c r="AB626" s="798"/>
      <c r="AC626" s="799"/>
      <c r="AD626" s="800"/>
      <c r="AE626" s="800"/>
      <c r="AF626" s="801"/>
      <c r="AG626" s="466"/>
      <c r="AH626" s="467"/>
      <c r="AI626" s="467"/>
      <c r="AJ626" s="468"/>
      <c r="AK626" s="737"/>
      <c r="AL626" s="738"/>
      <c r="AM626" s="738"/>
      <c r="AN626" s="739"/>
      <c r="AO626" s="740"/>
      <c r="AP626" s="741"/>
      <c r="AQ626" s="741"/>
      <c r="AR626" s="742"/>
    </row>
    <row r="627" spans="3:44" ht="18" customHeight="1">
      <c r="C627" s="758"/>
      <c r="D627" s="759"/>
      <c r="E627" s="760"/>
      <c r="F627" s="796"/>
      <c r="G627" s="797"/>
      <c r="H627" s="797"/>
      <c r="I627" s="797"/>
      <c r="J627" s="797"/>
      <c r="K627" s="797"/>
      <c r="L627" s="797"/>
      <c r="M627" s="797"/>
      <c r="N627" s="797"/>
      <c r="O627" s="797"/>
      <c r="P627" s="797"/>
      <c r="Q627" s="797"/>
      <c r="R627" s="797"/>
      <c r="S627" s="797"/>
      <c r="T627" s="797"/>
      <c r="U627" s="797"/>
      <c r="V627" s="797"/>
      <c r="W627" s="797"/>
      <c r="X627" s="797"/>
      <c r="Y627" s="797"/>
      <c r="Z627" s="797"/>
      <c r="AA627" s="797"/>
      <c r="AB627" s="798"/>
      <c r="AC627" s="799"/>
      <c r="AD627" s="800"/>
      <c r="AE627" s="800"/>
      <c r="AF627" s="801"/>
      <c r="AG627" s="466"/>
      <c r="AH627" s="467"/>
      <c r="AI627" s="467"/>
      <c r="AJ627" s="468"/>
      <c r="AK627" s="737"/>
      <c r="AL627" s="738"/>
      <c r="AM627" s="738"/>
      <c r="AN627" s="739"/>
      <c r="AO627" s="740"/>
      <c r="AP627" s="741"/>
      <c r="AQ627" s="741"/>
      <c r="AR627" s="742"/>
    </row>
    <row r="628" spans="3:44" ht="18" customHeight="1">
      <c r="C628" s="758"/>
      <c r="D628" s="759"/>
      <c r="E628" s="760"/>
      <c r="F628" s="796"/>
      <c r="G628" s="797"/>
      <c r="H628" s="797"/>
      <c r="I628" s="797"/>
      <c r="J628" s="797"/>
      <c r="K628" s="797"/>
      <c r="L628" s="797"/>
      <c r="M628" s="797"/>
      <c r="N628" s="797"/>
      <c r="O628" s="797"/>
      <c r="P628" s="797"/>
      <c r="Q628" s="797"/>
      <c r="R628" s="797"/>
      <c r="S628" s="797"/>
      <c r="T628" s="797"/>
      <c r="U628" s="797"/>
      <c r="V628" s="797"/>
      <c r="W628" s="797"/>
      <c r="X628" s="797"/>
      <c r="Y628" s="797"/>
      <c r="Z628" s="797"/>
      <c r="AA628" s="797"/>
      <c r="AB628" s="798"/>
      <c r="AC628" s="799"/>
      <c r="AD628" s="800"/>
      <c r="AE628" s="800"/>
      <c r="AF628" s="801"/>
      <c r="AG628" s="466"/>
      <c r="AH628" s="467"/>
      <c r="AI628" s="467"/>
      <c r="AJ628" s="468"/>
      <c r="AK628" s="737"/>
      <c r="AL628" s="738"/>
      <c r="AM628" s="738"/>
      <c r="AN628" s="739"/>
      <c r="AO628" s="740"/>
      <c r="AP628" s="741"/>
      <c r="AQ628" s="741"/>
      <c r="AR628" s="742"/>
    </row>
    <row r="629" spans="3:44" ht="18" customHeight="1">
      <c r="C629" s="743"/>
      <c r="D629" s="744"/>
      <c r="E629" s="744"/>
      <c r="F629" s="744"/>
      <c r="G629" s="744"/>
      <c r="H629" s="744"/>
      <c r="I629" s="744"/>
      <c r="J629" s="744"/>
      <c r="K629" s="744"/>
      <c r="L629" s="744"/>
      <c r="M629" s="744"/>
      <c r="N629" s="744"/>
      <c r="O629" s="744"/>
      <c r="P629" s="744"/>
      <c r="Q629" s="744"/>
      <c r="R629" s="744"/>
      <c r="S629" s="744"/>
      <c r="T629" s="744"/>
      <c r="U629" s="744"/>
      <c r="V629" s="744"/>
      <c r="W629" s="744"/>
      <c r="X629" s="744"/>
      <c r="Y629" s="745" t="s">
        <v>88</v>
      </c>
      <c r="Z629" s="745"/>
      <c r="AA629" s="745"/>
      <c r="AB629" s="745"/>
      <c r="AC629" s="745"/>
      <c r="AD629" s="745"/>
      <c r="AE629" s="745"/>
      <c r="AF629" s="745"/>
      <c r="AG629" s="745"/>
      <c r="AH629" s="745"/>
      <c r="AI629" s="745"/>
      <c r="AJ629" s="745"/>
      <c r="AK629" s="745"/>
      <c r="AL629" s="745"/>
      <c r="AM629" s="745"/>
      <c r="AN629" s="430"/>
      <c r="AO629" s="477">
        <f>SUM(AO621:AR628)</f>
        <v>4663.0999999999995</v>
      </c>
      <c r="AP629" s="746"/>
      <c r="AQ629" s="746"/>
      <c r="AR629" s="747"/>
    </row>
    <row r="631" spans="3:44" ht="18" customHeight="1">
      <c r="C631" s="794" t="s">
        <v>43</v>
      </c>
      <c r="D631" s="774"/>
      <c r="E631" s="775"/>
      <c r="F631" s="773" t="s">
        <v>89</v>
      </c>
      <c r="G631" s="774"/>
      <c r="H631" s="774"/>
      <c r="I631" s="774"/>
      <c r="J631" s="774"/>
      <c r="K631" s="774"/>
      <c r="L631" s="774"/>
      <c r="M631" s="774"/>
      <c r="N631" s="774"/>
      <c r="O631" s="774"/>
      <c r="P631" s="774"/>
      <c r="Q631" s="774"/>
      <c r="R631" s="775"/>
      <c r="S631" s="773" t="s">
        <v>90</v>
      </c>
      <c r="T631" s="774"/>
      <c r="U631" s="775"/>
      <c r="V631" s="773" t="s">
        <v>91</v>
      </c>
      <c r="W631" s="774"/>
      <c r="X631" s="775"/>
      <c r="Y631" s="773" t="s">
        <v>92</v>
      </c>
      <c r="Z631" s="774"/>
      <c r="AA631" s="774"/>
      <c r="AB631" s="774"/>
      <c r="AC631" s="774"/>
      <c r="AD631" s="775"/>
      <c r="AE631" s="773" t="s">
        <v>93</v>
      </c>
      <c r="AF631" s="774"/>
      <c r="AG631" s="775"/>
      <c r="AH631" s="773" t="s">
        <v>94</v>
      </c>
      <c r="AI631" s="774"/>
      <c r="AJ631" s="775"/>
      <c r="AK631" s="773" t="s">
        <v>86</v>
      </c>
      <c r="AL631" s="774"/>
      <c r="AM631" s="774"/>
      <c r="AN631" s="775"/>
      <c r="AO631" s="773" t="s">
        <v>87</v>
      </c>
      <c r="AP631" s="774"/>
      <c r="AQ631" s="774"/>
      <c r="AR631" s="779"/>
    </row>
    <row r="632" spans="3:44" ht="18" customHeight="1">
      <c r="C632" s="795"/>
      <c r="D632" s="777"/>
      <c r="E632" s="778"/>
      <c r="F632" s="776"/>
      <c r="G632" s="777"/>
      <c r="H632" s="777"/>
      <c r="I632" s="777"/>
      <c r="J632" s="777"/>
      <c r="K632" s="777"/>
      <c r="L632" s="777"/>
      <c r="M632" s="777"/>
      <c r="N632" s="777"/>
      <c r="O632" s="777"/>
      <c r="P632" s="777"/>
      <c r="Q632" s="777"/>
      <c r="R632" s="778"/>
      <c r="S632" s="776"/>
      <c r="T632" s="777"/>
      <c r="U632" s="778"/>
      <c r="V632" s="776"/>
      <c r="W632" s="777"/>
      <c r="X632" s="778"/>
      <c r="Y632" s="776"/>
      <c r="Z632" s="777"/>
      <c r="AA632" s="777"/>
      <c r="AB632" s="777"/>
      <c r="AC632" s="777"/>
      <c r="AD632" s="778"/>
      <c r="AE632" s="776"/>
      <c r="AF632" s="777"/>
      <c r="AG632" s="778"/>
      <c r="AH632" s="776"/>
      <c r="AI632" s="777"/>
      <c r="AJ632" s="778"/>
      <c r="AK632" s="776"/>
      <c r="AL632" s="777"/>
      <c r="AM632" s="777"/>
      <c r="AN632" s="778"/>
      <c r="AO632" s="776"/>
      <c r="AP632" s="777"/>
      <c r="AQ632" s="777"/>
      <c r="AR632" s="780"/>
    </row>
    <row r="633" spans="3:44" ht="18" customHeight="1">
      <c r="C633" s="781"/>
      <c r="D633" s="782"/>
      <c r="E633" s="783"/>
      <c r="F633" s="457"/>
      <c r="G633" s="457"/>
      <c r="H633" s="457"/>
      <c r="I633" s="457"/>
      <c r="J633" s="457"/>
      <c r="K633" s="457"/>
      <c r="L633" s="457"/>
      <c r="M633" s="457"/>
      <c r="N633" s="457"/>
      <c r="O633" s="457"/>
      <c r="P633" s="457"/>
      <c r="Q633" s="457"/>
      <c r="R633" s="457"/>
      <c r="S633" s="784"/>
      <c r="T633" s="785"/>
      <c r="U633" s="786"/>
      <c r="V633" s="784"/>
      <c r="W633" s="785"/>
      <c r="X633" s="786"/>
      <c r="Y633" s="787"/>
      <c r="Z633" s="788"/>
      <c r="AA633" s="788"/>
      <c r="AB633" s="788"/>
      <c r="AC633" s="788"/>
      <c r="AD633" s="789"/>
      <c r="AE633" s="449"/>
      <c r="AF633" s="449"/>
      <c r="AG633" s="449"/>
      <c r="AH633" s="770"/>
      <c r="AI633" s="771"/>
      <c r="AJ633" s="790"/>
      <c r="AK633" s="791"/>
      <c r="AL633" s="792"/>
      <c r="AM633" s="792"/>
      <c r="AN633" s="793"/>
      <c r="AO633" s="770"/>
      <c r="AP633" s="771"/>
      <c r="AQ633" s="771"/>
      <c r="AR633" s="772"/>
    </row>
    <row r="634" spans="3:44" ht="18" customHeight="1">
      <c r="C634" s="758"/>
      <c r="D634" s="759"/>
      <c r="E634" s="760"/>
      <c r="F634" s="761"/>
      <c r="G634" s="762"/>
      <c r="H634" s="762"/>
      <c r="I634" s="762"/>
      <c r="J634" s="762"/>
      <c r="K634" s="762"/>
      <c r="L634" s="762"/>
      <c r="M634" s="762"/>
      <c r="N634" s="762"/>
      <c r="O634" s="762"/>
      <c r="P634" s="762"/>
      <c r="Q634" s="762"/>
      <c r="R634" s="763"/>
      <c r="S634" s="764"/>
      <c r="T634" s="765"/>
      <c r="U634" s="766"/>
      <c r="V634" s="764"/>
      <c r="W634" s="765"/>
      <c r="X634" s="766"/>
      <c r="Y634" s="767"/>
      <c r="Z634" s="768"/>
      <c r="AA634" s="768"/>
      <c r="AB634" s="768"/>
      <c r="AC634" s="768"/>
      <c r="AD634" s="769"/>
      <c r="AE634" s="740"/>
      <c r="AF634" s="741"/>
      <c r="AG634" s="757"/>
      <c r="AH634" s="740"/>
      <c r="AI634" s="741"/>
      <c r="AJ634" s="757"/>
      <c r="AK634" s="737"/>
      <c r="AL634" s="738"/>
      <c r="AM634" s="738"/>
      <c r="AN634" s="739"/>
      <c r="AO634" s="740">
        <f t="shared" ref="AO634:AO640" si="9">ROUND(AE634*AH634*AK634,2)</f>
        <v>0</v>
      </c>
      <c r="AP634" s="741"/>
      <c r="AQ634" s="741"/>
      <c r="AR634" s="742"/>
    </row>
    <row r="635" spans="3:44" ht="18" customHeight="1">
      <c r="C635" s="758"/>
      <c r="D635" s="759"/>
      <c r="E635" s="760"/>
      <c r="F635" s="761"/>
      <c r="G635" s="762"/>
      <c r="H635" s="762"/>
      <c r="I635" s="762"/>
      <c r="J635" s="762"/>
      <c r="K635" s="762"/>
      <c r="L635" s="762"/>
      <c r="M635" s="762"/>
      <c r="N635" s="762"/>
      <c r="O635" s="762"/>
      <c r="P635" s="762"/>
      <c r="Q635" s="762"/>
      <c r="R635" s="763"/>
      <c r="S635" s="764"/>
      <c r="T635" s="765"/>
      <c r="U635" s="766"/>
      <c r="V635" s="764"/>
      <c r="W635" s="765"/>
      <c r="X635" s="766"/>
      <c r="Y635" s="767"/>
      <c r="Z635" s="768"/>
      <c r="AA635" s="768"/>
      <c r="AB635" s="768"/>
      <c r="AC635" s="768"/>
      <c r="AD635" s="769"/>
      <c r="AE635" s="740"/>
      <c r="AF635" s="741"/>
      <c r="AG635" s="757"/>
      <c r="AH635" s="740"/>
      <c r="AI635" s="741"/>
      <c r="AJ635" s="757"/>
      <c r="AK635" s="737"/>
      <c r="AL635" s="738"/>
      <c r="AM635" s="738"/>
      <c r="AN635" s="739"/>
      <c r="AO635" s="740">
        <f t="shared" si="9"/>
        <v>0</v>
      </c>
      <c r="AP635" s="741"/>
      <c r="AQ635" s="741"/>
      <c r="AR635" s="742"/>
    </row>
    <row r="636" spans="3:44" ht="18" customHeight="1">
      <c r="C636" s="758"/>
      <c r="D636" s="759"/>
      <c r="E636" s="760"/>
      <c r="F636" s="761"/>
      <c r="G636" s="762"/>
      <c r="H636" s="762"/>
      <c r="I636" s="762"/>
      <c r="J636" s="762"/>
      <c r="K636" s="762"/>
      <c r="L636" s="762"/>
      <c r="M636" s="762"/>
      <c r="N636" s="762"/>
      <c r="O636" s="762"/>
      <c r="P636" s="762"/>
      <c r="Q636" s="762"/>
      <c r="R636" s="763"/>
      <c r="S636" s="764"/>
      <c r="T636" s="765"/>
      <c r="U636" s="766"/>
      <c r="V636" s="764"/>
      <c r="W636" s="765"/>
      <c r="X636" s="766"/>
      <c r="Y636" s="767"/>
      <c r="Z636" s="768"/>
      <c r="AA636" s="768"/>
      <c r="AB636" s="768"/>
      <c r="AC636" s="768"/>
      <c r="AD636" s="769"/>
      <c r="AE636" s="740"/>
      <c r="AF636" s="741"/>
      <c r="AG636" s="757"/>
      <c r="AH636" s="740"/>
      <c r="AI636" s="741"/>
      <c r="AJ636" s="757"/>
      <c r="AK636" s="737"/>
      <c r="AL636" s="738"/>
      <c r="AM636" s="738"/>
      <c r="AN636" s="739"/>
      <c r="AO636" s="740">
        <f t="shared" si="9"/>
        <v>0</v>
      </c>
      <c r="AP636" s="741"/>
      <c r="AQ636" s="741"/>
      <c r="AR636" s="742"/>
    </row>
    <row r="637" spans="3:44" ht="18" customHeight="1">
      <c r="C637" s="758"/>
      <c r="D637" s="759"/>
      <c r="E637" s="760"/>
      <c r="F637" s="761"/>
      <c r="G637" s="762"/>
      <c r="H637" s="762"/>
      <c r="I637" s="762"/>
      <c r="J637" s="762"/>
      <c r="K637" s="762"/>
      <c r="L637" s="762"/>
      <c r="M637" s="762"/>
      <c r="N637" s="762"/>
      <c r="O637" s="762"/>
      <c r="P637" s="762"/>
      <c r="Q637" s="762"/>
      <c r="R637" s="763"/>
      <c r="S637" s="764"/>
      <c r="T637" s="765"/>
      <c r="U637" s="766"/>
      <c r="V637" s="764"/>
      <c r="W637" s="765"/>
      <c r="X637" s="766"/>
      <c r="Y637" s="767"/>
      <c r="Z637" s="768"/>
      <c r="AA637" s="768"/>
      <c r="AB637" s="768"/>
      <c r="AC637" s="768"/>
      <c r="AD637" s="769"/>
      <c r="AE637" s="740"/>
      <c r="AF637" s="741"/>
      <c r="AG637" s="757"/>
      <c r="AH637" s="740"/>
      <c r="AI637" s="741"/>
      <c r="AJ637" s="757"/>
      <c r="AK637" s="737"/>
      <c r="AL637" s="738"/>
      <c r="AM637" s="738"/>
      <c r="AN637" s="739"/>
      <c r="AO637" s="740">
        <f t="shared" si="9"/>
        <v>0</v>
      </c>
      <c r="AP637" s="741"/>
      <c r="AQ637" s="741"/>
      <c r="AR637" s="742"/>
    </row>
    <row r="638" spans="3:44" ht="18" customHeight="1">
      <c r="C638" s="758"/>
      <c r="D638" s="759"/>
      <c r="E638" s="760"/>
      <c r="F638" s="761"/>
      <c r="G638" s="762"/>
      <c r="H638" s="762"/>
      <c r="I638" s="762"/>
      <c r="J638" s="762"/>
      <c r="K638" s="762"/>
      <c r="L638" s="762"/>
      <c r="M638" s="762"/>
      <c r="N638" s="762"/>
      <c r="O638" s="762"/>
      <c r="P638" s="762"/>
      <c r="Q638" s="762"/>
      <c r="R638" s="763"/>
      <c r="S638" s="764"/>
      <c r="T638" s="765"/>
      <c r="U638" s="766"/>
      <c r="V638" s="764"/>
      <c r="W638" s="765"/>
      <c r="X638" s="766"/>
      <c r="Y638" s="767"/>
      <c r="Z638" s="768"/>
      <c r="AA638" s="768"/>
      <c r="AB638" s="768"/>
      <c r="AC638" s="768"/>
      <c r="AD638" s="769"/>
      <c r="AE638" s="740"/>
      <c r="AF638" s="741"/>
      <c r="AG638" s="757"/>
      <c r="AH638" s="740"/>
      <c r="AI638" s="741"/>
      <c r="AJ638" s="757"/>
      <c r="AK638" s="737"/>
      <c r="AL638" s="738"/>
      <c r="AM638" s="738"/>
      <c r="AN638" s="739"/>
      <c r="AO638" s="740">
        <f t="shared" si="9"/>
        <v>0</v>
      </c>
      <c r="AP638" s="741"/>
      <c r="AQ638" s="741"/>
      <c r="AR638" s="742"/>
    </row>
    <row r="639" spans="3:44" ht="18" customHeight="1">
      <c r="C639" s="758"/>
      <c r="D639" s="759"/>
      <c r="E639" s="760"/>
      <c r="F639" s="761"/>
      <c r="G639" s="762"/>
      <c r="H639" s="762"/>
      <c r="I639" s="762"/>
      <c r="J639" s="762"/>
      <c r="K639" s="762"/>
      <c r="L639" s="762"/>
      <c r="M639" s="762"/>
      <c r="N639" s="762"/>
      <c r="O639" s="762"/>
      <c r="P639" s="762"/>
      <c r="Q639" s="762"/>
      <c r="R639" s="763"/>
      <c r="S639" s="764"/>
      <c r="T639" s="765"/>
      <c r="U639" s="766"/>
      <c r="V639" s="764"/>
      <c r="W639" s="765"/>
      <c r="X639" s="766"/>
      <c r="Y639" s="767"/>
      <c r="Z639" s="768"/>
      <c r="AA639" s="768"/>
      <c r="AB639" s="768"/>
      <c r="AC639" s="768"/>
      <c r="AD639" s="769"/>
      <c r="AE639" s="740"/>
      <c r="AF639" s="741"/>
      <c r="AG639" s="757"/>
      <c r="AH639" s="740"/>
      <c r="AI639" s="741"/>
      <c r="AJ639" s="757"/>
      <c r="AK639" s="737"/>
      <c r="AL639" s="738"/>
      <c r="AM639" s="738"/>
      <c r="AN639" s="739"/>
      <c r="AO639" s="740">
        <f t="shared" si="9"/>
        <v>0</v>
      </c>
      <c r="AP639" s="741"/>
      <c r="AQ639" s="741"/>
      <c r="AR639" s="742"/>
    </row>
    <row r="640" spans="3:44" ht="18" customHeight="1">
      <c r="C640" s="758"/>
      <c r="D640" s="759"/>
      <c r="E640" s="760"/>
      <c r="F640" s="761"/>
      <c r="G640" s="762"/>
      <c r="H640" s="762"/>
      <c r="I640" s="762"/>
      <c r="J640" s="762"/>
      <c r="K640" s="762"/>
      <c r="L640" s="762"/>
      <c r="M640" s="762"/>
      <c r="N640" s="762"/>
      <c r="O640" s="762"/>
      <c r="P640" s="762"/>
      <c r="Q640" s="762"/>
      <c r="R640" s="763"/>
      <c r="S640" s="764"/>
      <c r="T640" s="765"/>
      <c r="U640" s="766"/>
      <c r="V640" s="764"/>
      <c r="W640" s="765"/>
      <c r="X640" s="766"/>
      <c r="Y640" s="767"/>
      <c r="Z640" s="768"/>
      <c r="AA640" s="768"/>
      <c r="AB640" s="768"/>
      <c r="AC640" s="768"/>
      <c r="AD640" s="769"/>
      <c r="AE640" s="740"/>
      <c r="AF640" s="741"/>
      <c r="AG640" s="757"/>
      <c r="AH640" s="740"/>
      <c r="AI640" s="741"/>
      <c r="AJ640" s="757"/>
      <c r="AK640" s="737"/>
      <c r="AL640" s="738"/>
      <c r="AM640" s="738"/>
      <c r="AN640" s="739"/>
      <c r="AO640" s="740">
        <f t="shared" si="9"/>
        <v>0</v>
      </c>
      <c r="AP640" s="741"/>
      <c r="AQ640" s="741"/>
      <c r="AR640" s="742"/>
    </row>
    <row r="641" spans="1:44" ht="18" customHeight="1">
      <c r="C641" s="743"/>
      <c r="D641" s="744"/>
      <c r="E641" s="744"/>
      <c r="F641" s="744"/>
      <c r="G641" s="744"/>
      <c r="H641" s="744"/>
      <c r="I641" s="744"/>
      <c r="J641" s="744"/>
      <c r="K641" s="744"/>
      <c r="L641" s="744"/>
      <c r="M641" s="744"/>
      <c r="N641" s="744"/>
      <c r="O641" s="744"/>
      <c r="P641" s="744"/>
      <c r="Q641" s="744"/>
      <c r="R641" s="744"/>
      <c r="S641" s="744"/>
      <c r="T641" s="744"/>
      <c r="U641" s="744"/>
      <c r="V641" s="744"/>
      <c r="W641" s="744"/>
      <c r="X641" s="744"/>
      <c r="Y641" s="745" t="s">
        <v>95</v>
      </c>
      <c r="Z641" s="745"/>
      <c r="AA641" s="745"/>
      <c r="AB641" s="745"/>
      <c r="AC641" s="745"/>
      <c r="AD641" s="745"/>
      <c r="AE641" s="745"/>
      <c r="AF641" s="745"/>
      <c r="AG641" s="745"/>
      <c r="AH641" s="745"/>
      <c r="AI641" s="745"/>
      <c r="AJ641" s="745"/>
      <c r="AK641" s="745"/>
      <c r="AL641" s="745"/>
      <c r="AM641" s="745"/>
      <c r="AN641" s="430"/>
      <c r="AO641" s="477">
        <f>SUM(AO633:AR640)</f>
        <v>0</v>
      </c>
      <c r="AP641" s="746"/>
      <c r="AQ641" s="746"/>
      <c r="AR641" s="747"/>
    </row>
    <row r="643" spans="1:44" ht="18" customHeight="1">
      <c r="C643" s="434"/>
      <c r="D643" s="434"/>
      <c r="E643" s="434"/>
      <c r="F643" s="434"/>
      <c r="G643" s="434"/>
      <c r="H643" s="434"/>
      <c r="I643" s="434"/>
      <c r="J643" s="434"/>
      <c r="K643" s="434"/>
      <c r="L643" s="434"/>
      <c r="M643" s="434"/>
      <c r="N643" s="434"/>
      <c r="O643" s="434"/>
      <c r="P643" s="434"/>
      <c r="Q643" s="434"/>
      <c r="R643" s="434"/>
      <c r="S643" s="434"/>
      <c r="T643" s="434"/>
      <c r="U643" s="434"/>
      <c r="V643" s="434"/>
      <c r="W643" s="434"/>
      <c r="X643" s="748"/>
      <c r="Y643" s="749" t="s">
        <v>96</v>
      </c>
      <c r="Z643" s="750"/>
      <c r="AA643" s="750"/>
      <c r="AB643" s="750"/>
      <c r="AC643" s="750"/>
      <c r="AD643" s="750"/>
      <c r="AE643" s="750"/>
      <c r="AF643" s="750"/>
      <c r="AG643" s="750"/>
      <c r="AH643" s="750"/>
      <c r="AI643" s="750"/>
      <c r="AJ643" s="750"/>
      <c r="AK643" s="750"/>
      <c r="AL643" s="750"/>
      <c r="AM643" s="750"/>
      <c r="AN643" s="751"/>
      <c r="AO643" s="752">
        <f>AO617+AO629+AO641</f>
        <v>5078.58</v>
      </c>
      <c r="AP643" s="753"/>
      <c r="AQ643" s="753"/>
      <c r="AR643" s="754"/>
    </row>
    <row r="644" spans="1:44" ht="18" customHeight="1">
      <c r="C644" s="434"/>
      <c r="D644" s="434"/>
      <c r="E644" s="434"/>
      <c r="F644" s="434"/>
      <c r="G644" s="434"/>
      <c r="H644" s="434"/>
      <c r="I644" s="434"/>
      <c r="J644" s="434"/>
      <c r="K644" s="434"/>
      <c r="L644" s="434"/>
      <c r="M644" s="434"/>
      <c r="N644" s="434"/>
      <c r="O644" s="434"/>
      <c r="P644" s="434"/>
      <c r="Q644" s="434"/>
      <c r="R644" s="434"/>
      <c r="S644" s="434"/>
      <c r="T644" s="434"/>
      <c r="U644" s="434"/>
      <c r="V644" s="434"/>
      <c r="W644" s="434"/>
      <c r="X644" s="748"/>
      <c r="Y644" s="755" t="s">
        <v>97</v>
      </c>
      <c r="Z644" s="756"/>
      <c r="AA644" s="756"/>
      <c r="AB644" s="756"/>
      <c r="AC644" s="756"/>
      <c r="AD644" s="756"/>
      <c r="AE644" s="756"/>
      <c r="AF644" s="756"/>
      <c r="AG644" s="756"/>
      <c r="AH644" s="442">
        <v>0.2031</v>
      </c>
      <c r="AI644" s="442"/>
      <c r="AJ644" s="442"/>
      <c r="AK644" s="442"/>
      <c r="AL644" s="442"/>
      <c r="AM644" s="442"/>
      <c r="AN644" s="443"/>
      <c r="AO644" s="728">
        <f>ROUND(AO643*AH644,2)</f>
        <v>1031.46</v>
      </c>
      <c r="AP644" s="729"/>
      <c r="AQ644" s="729"/>
      <c r="AR644" s="730"/>
    </row>
    <row r="645" spans="1:44" ht="18" customHeight="1">
      <c r="A645" s="415" t="s">
        <v>437</v>
      </c>
      <c r="B645" s="415"/>
      <c r="C645" s="434"/>
      <c r="D645" s="434"/>
      <c r="E645" s="434"/>
      <c r="F645" s="434"/>
      <c r="G645" s="434"/>
      <c r="H645" s="434"/>
      <c r="I645" s="434"/>
      <c r="J645" s="434"/>
      <c r="K645" s="434"/>
      <c r="L645" s="434"/>
      <c r="M645" s="434"/>
      <c r="N645" s="434"/>
      <c r="O645" s="434"/>
      <c r="P645" s="434"/>
      <c r="Q645" s="434"/>
      <c r="R645" s="434"/>
      <c r="S645" s="434"/>
      <c r="T645" s="434"/>
      <c r="U645" s="434"/>
      <c r="V645" s="434"/>
      <c r="W645" s="434"/>
      <c r="X645" s="748"/>
      <c r="Y645" s="731" t="s">
        <v>98</v>
      </c>
      <c r="Z645" s="732"/>
      <c r="AA645" s="732"/>
      <c r="AB645" s="732"/>
      <c r="AC645" s="732"/>
      <c r="AD645" s="732"/>
      <c r="AE645" s="732"/>
      <c r="AF645" s="732"/>
      <c r="AG645" s="732"/>
      <c r="AH645" s="732"/>
      <c r="AI645" s="732"/>
      <c r="AJ645" s="732"/>
      <c r="AK645" s="732"/>
      <c r="AL645" s="732"/>
      <c r="AM645" s="732"/>
      <c r="AN645" s="733"/>
      <c r="AO645" s="734">
        <f>SUM(AO643:AR644)</f>
        <v>6110.04</v>
      </c>
      <c r="AP645" s="735"/>
      <c r="AQ645" s="735"/>
      <c r="AR645" s="736"/>
    </row>
    <row r="647" spans="1:44" ht="18" customHeight="1">
      <c r="C647" s="420" t="s">
        <v>99</v>
      </c>
      <c r="D647" s="421"/>
      <c r="E647" s="421"/>
      <c r="F647" s="421"/>
      <c r="G647" s="421"/>
      <c r="H647" s="421"/>
      <c r="I647" s="422"/>
      <c r="J647" s="422"/>
      <c r="K647" s="422"/>
      <c r="L647" s="422"/>
      <c r="M647" s="422"/>
      <c r="N647" s="422"/>
      <c r="O647" s="422"/>
      <c r="P647" s="422"/>
      <c r="Q647" s="422"/>
      <c r="R647" s="422"/>
      <c r="S647" s="422"/>
      <c r="T647" s="422"/>
      <c r="U647" s="422"/>
      <c r="V647" s="422"/>
      <c r="W647" s="422"/>
      <c r="X647" s="422"/>
      <c r="Y647" s="422"/>
      <c r="Z647" s="422"/>
      <c r="AA647" s="422"/>
      <c r="AB647" s="422"/>
      <c r="AC647" s="422"/>
      <c r="AD647" s="422"/>
      <c r="AE647" s="422"/>
      <c r="AF647" s="422"/>
      <c r="AG647" s="422"/>
      <c r="AH647" s="422"/>
      <c r="AI647" s="422"/>
      <c r="AJ647" s="422"/>
      <c r="AK647" s="422"/>
      <c r="AL647" s="422"/>
      <c r="AM647" s="422"/>
      <c r="AN647" s="422"/>
      <c r="AO647" s="422"/>
      <c r="AP647" s="422"/>
      <c r="AQ647" s="422"/>
      <c r="AR647" s="423"/>
    </row>
    <row r="648" spans="1:44" ht="18" customHeight="1">
      <c r="C648" s="411"/>
      <c r="D648" s="412"/>
      <c r="E648" s="412"/>
      <c r="F648" s="412"/>
      <c r="G648" s="412"/>
      <c r="H648" s="412"/>
      <c r="I648" s="409"/>
      <c r="J648" s="409"/>
      <c r="K648" s="409"/>
      <c r="L648" s="409"/>
      <c r="M648" s="409"/>
      <c r="N648" s="409"/>
      <c r="O648" s="409"/>
      <c r="P648" s="409"/>
      <c r="Q648" s="409"/>
      <c r="R648" s="409"/>
      <c r="S648" s="409"/>
      <c r="T648" s="409"/>
      <c r="U648" s="409"/>
      <c r="V648" s="409"/>
      <c r="W648" s="409"/>
      <c r="X648" s="409"/>
      <c r="Y648" s="409"/>
      <c r="Z648" s="409"/>
      <c r="AA648" s="409"/>
      <c r="AB648" s="409"/>
      <c r="AC648" s="409"/>
      <c r="AD648" s="409"/>
      <c r="AE648" s="409"/>
      <c r="AF648" s="409"/>
      <c r="AG648" s="409"/>
      <c r="AH648" s="409"/>
      <c r="AI648" s="409"/>
      <c r="AJ648" s="409"/>
      <c r="AK648" s="409"/>
      <c r="AL648" s="409"/>
      <c r="AM648" s="409"/>
      <c r="AN648" s="409"/>
      <c r="AO648" s="409"/>
      <c r="AP648" s="409"/>
      <c r="AQ648" s="409"/>
      <c r="AR648" s="410"/>
    </row>
    <row r="649" spans="1:44" ht="18" customHeight="1">
      <c r="C649" s="411"/>
      <c r="D649" s="412"/>
      <c r="E649" s="412"/>
      <c r="F649" s="412"/>
      <c r="G649" s="412"/>
      <c r="H649" s="412"/>
      <c r="I649" s="409"/>
      <c r="J649" s="409"/>
      <c r="K649" s="409"/>
      <c r="L649" s="409"/>
      <c r="M649" s="409"/>
      <c r="N649" s="409"/>
      <c r="O649" s="409"/>
      <c r="P649" s="409"/>
      <c r="Q649" s="409"/>
      <c r="R649" s="409"/>
      <c r="S649" s="409"/>
      <c r="T649" s="409"/>
      <c r="U649" s="409"/>
      <c r="V649" s="409"/>
      <c r="W649" s="409"/>
      <c r="X649" s="409"/>
      <c r="Y649" s="409"/>
      <c r="Z649" s="409"/>
      <c r="AA649" s="409"/>
      <c r="AB649" s="409"/>
      <c r="AC649" s="409"/>
      <c r="AD649" s="409"/>
      <c r="AE649" s="409"/>
      <c r="AF649" s="409"/>
      <c r="AG649" s="409"/>
      <c r="AH649" s="409"/>
      <c r="AI649" s="409"/>
      <c r="AJ649" s="409"/>
      <c r="AK649" s="409"/>
      <c r="AL649" s="409"/>
      <c r="AM649" s="409"/>
      <c r="AN649" s="409"/>
      <c r="AO649" s="409"/>
      <c r="AP649" s="409"/>
      <c r="AQ649" s="409"/>
      <c r="AR649" s="410"/>
    </row>
    <row r="650" spans="1:44" ht="18" customHeight="1">
      <c r="C650" s="411"/>
      <c r="D650" s="412"/>
      <c r="E650" s="412"/>
      <c r="F650" s="412"/>
      <c r="G650" s="412"/>
      <c r="H650" s="412"/>
      <c r="I650" s="409"/>
      <c r="J650" s="409"/>
      <c r="K650" s="409"/>
      <c r="L650" s="409"/>
      <c r="M650" s="409"/>
      <c r="N650" s="409"/>
      <c r="O650" s="409"/>
      <c r="P650" s="409"/>
      <c r="Q650" s="409"/>
      <c r="R650" s="409"/>
      <c r="S650" s="409"/>
      <c r="T650" s="409"/>
      <c r="U650" s="409"/>
      <c r="V650" s="409"/>
      <c r="W650" s="409"/>
      <c r="X650" s="409"/>
      <c r="Y650" s="409"/>
      <c r="Z650" s="409"/>
      <c r="AA650" s="409"/>
      <c r="AB650" s="409"/>
      <c r="AC650" s="409"/>
      <c r="AD650" s="409"/>
      <c r="AE650" s="409"/>
      <c r="AF650" s="409"/>
      <c r="AG650" s="409"/>
      <c r="AH650" s="409"/>
      <c r="AI650" s="409"/>
      <c r="AJ650" s="409"/>
      <c r="AK650" s="409"/>
      <c r="AL650" s="409"/>
      <c r="AM650" s="409"/>
      <c r="AN650" s="409"/>
      <c r="AO650" s="409"/>
      <c r="AP650" s="409"/>
      <c r="AQ650" s="409"/>
      <c r="AR650" s="410"/>
    </row>
    <row r="651" spans="1:44" ht="18" customHeight="1">
      <c r="C651" s="411"/>
      <c r="D651" s="412"/>
      <c r="E651" s="412"/>
      <c r="F651" s="412"/>
      <c r="G651" s="412"/>
      <c r="H651" s="412"/>
      <c r="I651" s="409"/>
      <c r="J651" s="409"/>
      <c r="K651" s="409"/>
      <c r="L651" s="409"/>
      <c r="M651" s="409"/>
      <c r="N651" s="409"/>
      <c r="O651" s="409"/>
      <c r="P651" s="409"/>
      <c r="Q651" s="409"/>
      <c r="R651" s="409"/>
      <c r="S651" s="409"/>
      <c r="T651" s="409"/>
      <c r="U651" s="409"/>
      <c r="V651" s="409"/>
      <c r="W651" s="409"/>
      <c r="X651" s="409"/>
      <c r="Y651" s="409"/>
      <c r="Z651" s="409"/>
      <c r="AA651" s="409"/>
      <c r="AB651" s="409"/>
      <c r="AC651" s="409"/>
      <c r="AD651" s="409"/>
      <c r="AE651" s="409"/>
      <c r="AF651" s="409"/>
      <c r="AG651" s="409"/>
      <c r="AH651" s="409"/>
      <c r="AI651" s="409"/>
      <c r="AJ651" s="409"/>
      <c r="AK651" s="409"/>
      <c r="AL651" s="409"/>
      <c r="AM651" s="409"/>
      <c r="AN651" s="409"/>
      <c r="AO651" s="409"/>
      <c r="AP651" s="409"/>
      <c r="AQ651" s="409"/>
      <c r="AR651" s="410"/>
    </row>
    <row r="652" spans="1:44" ht="18" customHeight="1">
      <c r="C652" s="385"/>
      <c r="D652" s="386"/>
      <c r="E652" s="386"/>
      <c r="F652" s="386"/>
      <c r="G652" s="386"/>
      <c r="H652" s="386"/>
      <c r="I652" s="387"/>
      <c r="J652" s="387"/>
      <c r="K652" s="387"/>
      <c r="L652" s="387"/>
      <c r="M652" s="387"/>
      <c r="N652" s="387"/>
      <c r="O652" s="387"/>
      <c r="P652" s="387"/>
      <c r="Q652" s="387"/>
      <c r="R652" s="387"/>
      <c r="S652" s="387"/>
      <c r="T652" s="387"/>
      <c r="U652" s="387"/>
      <c r="V652" s="387"/>
      <c r="W652" s="387"/>
      <c r="X652" s="387"/>
      <c r="Y652" s="387"/>
      <c r="Z652" s="387"/>
      <c r="AA652" s="387"/>
      <c r="AB652" s="387"/>
      <c r="AC652" s="387"/>
      <c r="AD652" s="387"/>
      <c r="AE652" s="387"/>
      <c r="AF652" s="387"/>
      <c r="AG652" s="387"/>
      <c r="AH652" s="387"/>
      <c r="AI652" s="387"/>
      <c r="AJ652" s="387"/>
      <c r="AK652" s="387"/>
      <c r="AL652" s="387"/>
      <c r="AM652" s="387"/>
      <c r="AN652" s="387"/>
      <c r="AO652" s="387"/>
      <c r="AP652" s="387"/>
      <c r="AQ652" s="387"/>
      <c r="AR652" s="388"/>
    </row>
    <row r="654" spans="1:44" ht="18" customHeight="1">
      <c r="C654" s="389" t="s">
        <v>100</v>
      </c>
      <c r="D654" s="390"/>
      <c r="E654" s="390"/>
      <c r="F654" s="390"/>
      <c r="G654" s="390"/>
      <c r="H654" s="390"/>
      <c r="I654" s="390"/>
      <c r="J654" s="390"/>
      <c r="K654" s="390"/>
      <c r="L654" s="390"/>
      <c r="M654" s="390"/>
      <c r="N654" s="390"/>
      <c r="O654" s="390"/>
      <c r="P654" s="390"/>
      <c r="Q654" s="390"/>
      <c r="R654" s="390"/>
      <c r="S654" s="390"/>
      <c r="T654" s="390"/>
      <c r="U654" s="390"/>
      <c r="V654" s="390"/>
      <c r="W654" s="390"/>
      <c r="X654" s="390"/>
      <c r="Y654" s="390"/>
      <c r="Z654" s="390"/>
      <c r="AA654" s="391"/>
      <c r="AB654" s="392" t="str">
        <f>[4]C.UNIT.SERV.!$E$5</f>
        <v>DATA-BASE:      MAIO/2011/PR</v>
      </c>
      <c r="AC654" s="393"/>
      <c r="AD654" s="393"/>
      <c r="AE654" s="393"/>
      <c r="AF654" s="393"/>
      <c r="AG654" s="393"/>
      <c r="AH654" s="393"/>
      <c r="AI654" s="394"/>
      <c r="AJ654" s="392"/>
      <c r="AK654" s="393"/>
      <c r="AL654" s="393"/>
      <c r="AM654" s="393"/>
      <c r="AN654" s="393"/>
      <c r="AO654" s="393"/>
      <c r="AP654" s="393"/>
      <c r="AQ654" s="393"/>
      <c r="AR654" s="401"/>
    </row>
    <row r="655" spans="1:44" ht="18" customHeight="1">
      <c r="C655" s="404" t="s">
        <v>101</v>
      </c>
      <c r="D655" s="405"/>
      <c r="E655" s="405"/>
      <c r="F655" s="405"/>
      <c r="G655" s="405" t="s">
        <v>283</v>
      </c>
      <c r="H655" s="405"/>
      <c r="I655" s="405"/>
      <c r="J655" s="405"/>
      <c r="K655" s="405"/>
      <c r="L655" s="405"/>
      <c r="M655" s="405"/>
      <c r="N655" s="405"/>
      <c r="O655" s="405"/>
      <c r="P655" s="405"/>
      <c r="Q655" s="405"/>
      <c r="R655" s="405"/>
      <c r="S655" s="405"/>
      <c r="T655" s="405"/>
      <c r="U655" s="405"/>
      <c r="V655" s="405"/>
      <c r="W655" s="405"/>
      <c r="X655" s="405"/>
      <c r="Y655" s="405"/>
      <c r="Z655" s="405"/>
      <c r="AA655" s="406"/>
      <c r="AB655" s="395"/>
      <c r="AC655" s="396"/>
      <c r="AD655" s="396"/>
      <c r="AE655" s="396"/>
      <c r="AF655" s="396"/>
      <c r="AG655" s="396"/>
      <c r="AH655" s="396"/>
      <c r="AI655" s="397"/>
      <c r="AJ655" s="395"/>
      <c r="AK655" s="396"/>
      <c r="AL655" s="396"/>
      <c r="AM655" s="396"/>
      <c r="AN655" s="396"/>
      <c r="AO655" s="396"/>
      <c r="AP655" s="396"/>
      <c r="AQ655" s="396"/>
      <c r="AR655" s="402"/>
    </row>
    <row r="656" spans="1:44" ht="18" customHeight="1">
      <c r="C656" s="404" t="s">
        <v>102</v>
      </c>
      <c r="D656" s="405"/>
      <c r="E656" s="405"/>
      <c r="F656" s="405"/>
      <c r="G656" s="405"/>
      <c r="H656" s="405"/>
      <c r="I656" s="405"/>
      <c r="J656" s="405"/>
      <c r="K656" s="405"/>
      <c r="L656" s="405"/>
      <c r="M656" s="405"/>
      <c r="N656" s="405"/>
      <c r="O656" s="405"/>
      <c r="P656" s="405"/>
      <c r="Q656" s="405"/>
      <c r="R656" s="405"/>
      <c r="S656" s="405"/>
      <c r="T656" s="405"/>
      <c r="U656" s="405"/>
      <c r="V656" s="405"/>
      <c r="W656" s="405"/>
      <c r="X656" s="405"/>
      <c r="Y656" s="405"/>
      <c r="Z656" s="405"/>
      <c r="AA656" s="406"/>
      <c r="AB656" s="395"/>
      <c r="AC656" s="396"/>
      <c r="AD656" s="396"/>
      <c r="AE656" s="396"/>
      <c r="AF656" s="396"/>
      <c r="AG656" s="396"/>
      <c r="AH656" s="396"/>
      <c r="AI656" s="397"/>
      <c r="AJ656" s="395"/>
      <c r="AK656" s="396"/>
      <c r="AL656" s="396"/>
      <c r="AM656" s="396"/>
      <c r="AN656" s="396"/>
      <c r="AO656" s="396"/>
      <c r="AP656" s="396"/>
      <c r="AQ656" s="396"/>
      <c r="AR656" s="402"/>
    </row>
    <row r="657" spans="3:44" ht="18" customHeight="1">
      <c r="C657" s="407"/>
      <c r="D657" s="408"/>
      <c r="E657" s="408"/>
      <c r="F657" s="408"/>
      <c r="G657" s="408"/>
      <c r="H657" s="408"/>
      <c r="I657" s="408"/>
      <c r="J657" s="408"/>
      <c r="K657" s="408"/>
      <c r="L657" s="408"/>
      <c r="M657" s="408"/>
      <c r="N657" s="408"/>
      <c r="O657" s="408"/>
      <c r="P657" s="408"/>
      <c r="Q657" s="408"/>
      <c r="R657" s="408"/>
      <c r="S657" s="408"/>
      <c r="T657" s="408"/>
      <c r="U657" s="408"/>
      <c r="V657" s="408"/>
      <c r="W657" s="408"/>
      <c r="X657" s="408"/>
      <c r="Y657" s="408"/>
      <c r="Z657" s="408"/>
      <c r="AA657" s="408"/>
      <c r="AB657" s="398"/>
      <c r="AC657" s="399"/>
      <c r="AD657" s="399"/>
      <c r="AE657" s="399"/>
      <c r="AF657" s="399"/>
      <c r="AG657" s="399"/>
      <c r="AH657" s="399"/>
      <c r="AI657" s="400"/>
      <c r="AJ657" s="398"/>
      <c r="AK657" s="399"/>
      <c r="AL657" s="399"/>
      <c r="AM657" s="399"/>
      <c r="AN657" s="399"/>
      <c r="AO657" s="399"/>
      <c r="AP657" s="399"/>
      <c r="AQ657" s="399"/>
      <c r="AR657" s="403"/>
    </row>
    <row r="659" spans="3:44" ht="18" customHeight="1">
      <c r="C659" s="850" t="s">
        <v>64</v>
      </c>
      <c r="D659" s="851"/>
      <c r="E659" s="851"/>
      <c r="F659" s="851"/>
      <c r="G659" s="851"/>
      <c r="H659" s="851"/>
      <c r="I659" s="851"/>
      <c r="J659" s="851"/>
      <c r="K659" s="851"/>
      <c r="L659" s="851"/>
      <c r="M659" s="851"/>
      <c r="N659" s="851"/>
      <c r="O659" s="851"/>
      <c r="P659" s="851"/>
      <c r="Q659" s="851"/>
      <c r="R659" s="851"/>
      <c r="S659" s="851"/>
      <c r="T659" s="851"/>
      <c r="U659" s="851"/>
      <c r="V659" s="851"/>
      <c r="W659" s="851"/>
      <c r="X659" s="851"/>
      <c r="Y659" s="851"/>
      <c r="Z659" s="851"/>
      <c r="AA659" s="851"/>
      <c r="AB659" s="851"/>
      <c r="AC659" s="851"/>
      <c r="AD659" s="851"/>
      <c r="AE659" s="851"/>
      <c r="AF659" s="851"/>
      <c r="AG659" s="851"/>
      <c r="AH659" s="851"/>
      <c r="AI659" s="851"/>
      <c r="AJ659" s="851"/>
      <c r="AK659" s="851"/>
      <c r="AL659" s="851"/>
      <c r="AM659" s="851"/>
      <c r="AN659" s="851"/>
      <c r="AO659" s="851"/>
      <c r="AP659" s="851"/>
      <c r="AQ659" s="851"/>
      <c r="AR659" s="852"/>
    </row>
    <row r="660" spans="3:44" ht="18" customHeight="1">
      <c r="C660" s="853"/>
      <c r="D660" s="854"/>
      <c r="E660" s="854"/>
      <c r="F660" s="854"/>
      <c r="G660" s="854"/>
      <c r="H660" s="854"/>
      <c r="I660" s="854"/>
      <c r="J660" s="854"/>
      <c r="K660" s="854"/>
      <c r="L660" s="854"/>
      <c r="M660" s="854"/>
      <c r="N660" s="854"/>
      <c r="O660" s="854"/>
      <c r="P660" s="854"/>
      <c r="Q660" s="854"/>
      <c r="R660" s="854"/>
      <c r="S660" s="854"/>
      <c r="T660" s="854"/>
      <c r="U660" s="854"/>
      <c r="V660" s="854"/>
      <c r="W660" s="854"/>
      <c r="X660" s="854"/>
      <c r="Y660" s="854"/>
      <c r="Z660" s="854"/>
      <c r="AA660" s="854"/>
      <c r="AB660" s="854"/>
      <c r="AC660" s="854"/>
      <c r="AD660" s="854"/>
      <c r="AE660" s="854"/>
      <c r="AF660" s="854"/>
      <c r="AG660" s="854"/>
      <c r="AH660" s="854"/>
      <c r="AI660" s="854"/>
      <c r="AJ660" s="854"/>
      <c r="AK660" s="854"/>
      <c r="AL660" s="854"/>
      <c r="AM660" s="854"/>
      <c r="AN660" s="854"/>
      <c r="AO660" s="854"/>
      <c r="AP660" s="854"/>
      <c r="AQ660" s="854"/>
      <c r="AR660" s="855"/>
    </row>
    <row r="661" spans="3:44" ht="18" customHeight="1">
      <c r="C661" s="856" t="s">
        <v>65</v>
      </c>
      <c r="D661" s="857"/>
      <c r="E661" s="857"/>
      <c r="F661" s="857"/>
      <c r="G661" s="860" t="s">
        <v>438</v>
      </c>
      <c r="H661" s="860"/>
      <c r="I661" s="860"/>
      <c r="J661" s="861"/>
      <c r="K661" s="864" t="s">
        <v>66</v>
      </c>
      <c r="L661" s="865"/>
      <c r="M661" s="865"/>
      <c r="N661" s="865"/>
      <c r="O661" s="526" t="s">
        <v>621</v>
      </c>
      <c r="P661" s="526"/>
      <c r="Q661" s="526"/>
      <c r="R661" s="526"/>
      <c r="S661" s="526"/>
      <c r="T661" s="526"/>
      <c r="U661" s="526"/>
      <c r="V661" s="526"/>
      <c r="W661" s="526"/>
      <c r="X661" s="526"/>
      <c r="Y661" s="526"/>
      <c r="Z661" s="526"/>
      <c r="AA661" s="526"/>
      <c r="AB661" s="526"/>
      <c r="AC661" s="526"/>
      <c r="AD661" s="526"/>
      <c r="AE661" s="526"/>
      <c r="AF661" s="526"/>
      <c r="AG661" s="526"/>
      <c r="AH661" s="526"/>
      <c r="AI661" s="526"/>
      <c r="AJ661" s="526"/>
      <c r="AK661" s="527"/>
      <c r="AL661" s="864" t="s">
        <v>67</v>
      </c>
      <c r="AM661" s="865"/>
      <c r="AN661" s="865"/>
      <c r="AO661" s="865"/>
      <c r="AP661" s="843" t="s">
        <v>194</v>
      </c>
      <c r="AQ661" s="843"/>
      <c r="AR661" s="844"/>
    </row>
    <row r="662" spans="3:44" ht="18" customHeight="1">
      <c r="C662" s="858"/>
      <c r="D662" s="859"/>
      <c r="E662" s="859"/>
      <c r="F662" s="859"/>
      <c r="G662" s="862"/>
      <c r="H662" s="862"/>
      <c r="I662" s="862"/>
      <c r="J662" s="863"/>
      <c r="K662" s="866"/>
      <c r="L662" s="867"/>
      <c r="M662" s="867"/>
      <c r="N662" s="867"/>
      <c r="O662" s="528"/>
      <c r="P662" s="528"/>
      <c r="Q662" s="528"/>
      <c r="R662" s="528"/>
      <c r="S662" s="528"/>
      <c r="T662" s="528"/>
      <c r="U662" s="528"/>
      <c r="V662" s="528"/>
      <c r="W662" s="528"/>
      <c r="X662" s="528"/>
      <c r="Y662" s="528"/>
      <c r="Z662" s="528"/>
      <c r="AA662" s="528"/>
      <c r="AB662" s="528"/>
      <c r="AC662" s="528"/>
      <c r="AD662" s="528"/>
      <c r="AE662" s="528"/>
      <c r="AF662" s="528"/>
      <c r="AG662" s="528"/>
      <c r="AH662" s="528"/>
      <c r="AI662" s="528"/>
      <c r="AJ662" s="528"/>
      <c r="AK662" s="529"/>
      <c r="AL662" s="866"/>
      <c r="AM662" s="867"/>
      <c r="AN662" s="867"/>
      <c r="AO662" s="867"/>
      <c r="AP662" s="845"/>
      <c r="AQ662" s="845"/>
      <c r="AR662" s="846"/>
    </row>
    <row r="664" spans="3:44" ht="18" customHeight="1">
      <c r="C664" s="794" t="s">
        <v>43</v>
      </c>
      <c r="D664" s="774"/>
      <c r="E664" s="775"/>
      <c r="F664" s="773" t="s">
        <v>68</v>
      </c>
      <c r="G664" s="774"/>
      <c r="H664" s="774"/>
      <c r="I664" s="774"/>
      <c r="J664" s="774"/>
      <c r="K664" s="774"/>
      <c r="L664" s="774"/>
      <c r="M664" s="774"/>
      <c r="N664" s="774"/>
      <c r="O664" s="774"/>
      <c r="P664" s="774"/>
      <c r="Q664" s="774"/>
      <c r="R664" s="774"/>
      <c r="S664" s="774"/>
      <c r="T664" s="774"/>
      <c r="U664" s="775"/>
      <c r="V664" s="773" t="s">
        <v>249</v>
      </c>
      <c r="W664" s="774"/>
      <c r="X664" s="775"/>
      <c r="Y664" s="847" t="s">
        <v>69</v>
      </c>
      <c r="Z664" s="848"/>
      <c r="AA664" s="848"/>
      <c r="AB664" s="848"/>
      <c r="AC664" s="848"/>
      <c r="AD664" s="848"/>
      <c r="AE664" s="848"/>
      <c r="AF664" s="849"/>
      <c r="AG664" s="847" t="s">
        <v>70</v>
      </c>
      <c r="AH664" s="848"/>
      <c r="AI664" s="848"/>
      <c r="AJ664" s="848"/>
      <c r="AK664" s="848"/>
      <c r="AL664" s="848"/>
      <c r="AM664" s="848"/>
      <c r="AN664" s="849"/>
      <c r="AO664" s="773" t="s">
        <v>71</v>
      </c>
      <c r="AP664" s="774"/>
      <c r="AQ664" s="774"/>
      <c r="AR664" s="779"/>
    </row>
    <row r="665" spans="3:44" ht="18" customHeight="1">
      <c r="C665" s="795"/>
      <c r="D665" s="777"/>
      <c r="E665" s="778"/>
      <c r="F665" s="776"/>
      <c r="G665" s="777"/>
      <c r="H665" s="777"/>
      <c r="I665" s="777"/>
      <c r="J665" s="777"/>
      <c r="K665" s="777"/>
      <c r="L665" s="777"/>
      <c r="M665" s="777"/>
      <c r="N665" s="777"/>
      <c r="O665" s="777"/>
      <c r="P665" s="777"/>
      <c r="Q665" s="777"/>
      <c r="R665" s="777"/>
      <c r="S665" s="777"/>
      <c r="T665" s="777"/>
      <c r="U665" s="778"/>
      <c r="V665" s="776"/>
      <c r="W665" s="777"/>
      <c r="X665" s="778"/>
      <c r="Y665" s="834" t="s">
        <v>72</v>
      </c>
      <c r="Z665" s="835"/>
      <c r="AA665" s="835"/>
      <c r="AB665" s="836"/>
      <c r="AC665" s="834" t="s">
        <v>73</v>
      </c>
      <c r="AD665" s="835"/>
      <c r="AE665" s="835"/>
      <c r="AF665" s="836"/>
      <c r="AG665" s="834" t="s">
        <v>72</v>
      </c>
      <c r="AH665" s="835"/>
      <c r="AI665" s="835"/>
      <c r="AJ665" s="836"/>
      <c r="AK665" s="834" t="s">
        <v>73</v>
      </c>
      <c r="AL665" s="835"/>
      <c r="AM665" s="835"/>
      <c r="AN665" s="836"/>
      <c r="AO665" s="776"/>
      <c r="AP665" s="777"/>
      <c r="AQ665" s="777"/>
      <c r="AR665" s="780"/>
    </row>
    <row r="666" spans="3:44" ht="18" customHeight="1">
      <c r="C666" s="781"/>
      <c r="D666" s="782"/>
      <c r="E666" s="783"/>
      <c r="F666" s="493"/>
      <c r="G666" s="493"/>
      <c r="H666" s="493"/>
      <c r="I666" s="493"/>
      <c r="J666" s="493"/>
      <c r="K666" s="493"/>
      <c r="L666" s="493"/>
      <c r="M666" s="493"/>
      <c r="N666" s="493"/>
      <c r="O666" s="493"/>
      <c r="P666" s="493"/>
      <c r="Q666" s="493"/>
      <c r="R666" s="493"/>
      <c r="S666" s="493"/>
      <c r="T666" s="493"/>
      <c r="U666" s="493"/>
      <c r="V666" s="837"/>
      <c r="W666" s="838"/>
      <c r="X666" s="839"/>
      <c r="Y666" s="837"/>
      <c r="Z666" s="838"/>
      <c r="AA666" s="838"/>
      <c r="AB666" s="839"/>
      <c r="AC666" s="868"/>
      <c r="AD666" s="869"/>
      <c r="AE666" s="869"/>
      <c r="AF666" s="870"/>
      <c r="AG666" s="491"/>
      <c r="AH666" s="491"/>
      <c r="AI666" s="491"/>
      <c r="AJ666" s="491"/>
      <c r="AK666" s="491"/>
      <c r="AL666" s="491"/>
      <c r="AM666" s="491"/>
      <c r="AN666" s="491"/>
      <c r="AO666" s="491"/>
      <c r="AP666" s="491"/>
      <c r="AQ666" s="491"/>
      <c r="AR666" s="492"/>
    </row>
    <row r="667" spans="3:44" ht="18" customHeight="1">
      <c r="C667" s="758"/>
      <c r="D667" s="759"/>
      <c r="E667" s="760"/>
      <c r="F667" s="493"/>
      <c r="G667" s="493"/>
      <c r="H667" s="493"/>
      <c r="I667" s="493"/>
      <c r="J667" s="493"/>
      <c r="K667" s="493"/>
      <c r="L667" s="493"/>
      <c r="M667" s="493"/>
      <c r="N667" s="493"/>
      <c r="O667" s="493"/>
      <c r="P667" s="493"/>
      <c r="Q667" s="493"/>
      <c r="R667" s="493"/>
      <c r="S667" s="493"/>
      <c r="T667" s="493"/>
      <c r="U667" s="493"/>
      <c r="V667" s="466"/>
      <c r="W667" s="467"/>
      <c r="X667" s="468"/>
      <c r="Y667" s="466"/>
      <c r="Z667" s="467"/>
      <c r="AA667" s="467"/>
      <c r="AB667" s="468"/>
      <c r="AC667" s="828"/>
      <c r="AD667" s="829"/>
      <c r="AE667" s="829"/>
      <c r="AF667" s="830"/>
      <c r="AG667" s="491"/>
      <c r="AH667" s="491"/>
      <c r="AI667" s="491"/>
      <c r="AJ667" s="491"/>
      <c r="AK667" s="491"/>
      <c r="AL667" s="491"/>
      <c r="AM667" s="491"/>
      <c r="AN667" s="491"/>
      <c r="AO667" s="491"/>
      <c r="AP667" s="491"/>
      <c r="AQ667" s="491"/>
      <c r="AR667" s="492"/>
    </row>
    <row r="668" spans="3:44" ht="18" customHeight="1">
      <c r="C668" s="758"/>
      <c r="D668" s="759"/>
      <c r="E668" s="760"/>
      <c r="F668" s="493"/>
      <c r="G668" s="493"/>
      <c r="H668" s="493"/>
      <c r="I668" s="493"/>
      <c r="J668" s="493"/>
      <c r="K668" s="493"/>
      <c r="L668" s="493"/>
      <c r="M668" s="493"/>
      <c r="N668" s="493"/>
      <c r="O668" s="493"/>
      <c r="P668" s="493"/>
      <c r="Q668" s="493"/>
      <c r="R668" s="493"/>
      <c r="S668" s="493"/>
      <c r="T668" s="493"/>
      <c r="U668" s="493"/>
      <c r="V668" s="466"/>
      <c r="W668" s="467"/>
      <c r="X668" s="468"/>
      <c r="Y668" s="466"/>
      <c r="Z668" s="467"/>
      <c r="AA668" s="467"/>
      <c r="AB668" s="468"/>
      <c r="AC668" s="828"/>
      <c r="AD668" s="829"/>
      <c r="AE668" s="829"/>
      <c r="AF668" s="830"/>
      <c r="AG668" s="491"/>
      <c r="AH668" s="491"/>
      <c r="AI668" s="491"/>
      <c r="AJ668" s="491"/>
      <c r="AK668" s="491"/>
      <c r="AL668" s="491"/>
      <c r="AM668" s="491"/>
      <c r="AN668" s="491"/>
      <c r="AO668" s="491"/>
      <c r="AP668" s="491"/>
      <c r="AQ668" s="491"/>
      <c r="AR668" s="492"/>
    </row>
    <row r="669" spans="3:44" ht="18" customHeight="1">
      <c r="C669" s="758"/>
      <c r="D669" s="759"/>
      <c r="E669" s="760"/>
      <c r="F669" s="493"/>
      <c r="G669" s="493"/>
      <c r="H669" s="493"/>
      <c r="I669" s="493"/>
      <c r="J669" s="493"/>
      <c r="K669" s="493"/>
      <c r="L669" s="493"/>
      <c r="M669" s="493"/>
      <c r="N669" s="493"/>
      <c r="O669" s="493"/>
      <c r="P669" s="493"/>
      <c r="Q669" s="493"/>
      <c r="R669" s="493"/>
      <c r="S669" s="493"/>
      <c r="T669" s="493"/>
      <c r="U669" s="493"/>
      <c r="V669" s="466"/>
      <c r="W669" s="467"/>
      <c r="X669" s="468"/>
      <c r="Y669" s="466"/>
      <c r="Z669" s="467"/>
      <c r="AA669" s="467"/>
      <c r="AB669" s="468"/>
      <c r="AC669" s="828"/>
      <c r="AD669" s="829"/>
      <c r="AE669" s="829"/>
      <c r="AF669" s="830"/>
      <c r="AG669" s="491"/>
      <c r="AH669" s="491"/>
      <c r="AI669" s="491"/>
      <c r="AJ669" s="491"/>
      <c r="AK669" s="491"/>
      <c r="AL669" s="491"/>
      <c r="AM669" s="491"/>
      <c r="AN669" s="491"/>
      <c r="AO669" s="491"/>
      <c r="AP669" s="491"/>
      <c r="AQ669" s="491"/>
      <c r="AR669" s="492"/>
    </row>
    <row r="670" spans="3:44" ht="18" customHeight="1">
      <c r="C670" s="758"/>
      <c r="D670" s="759"/>
      <c r="E670" s="760"/>
      <c r="F670" s="493"/>
      <c r="G670" s="493"/>
      <c r="H670" s="493"/>
      <c r="I670" s="493"/>
      <c r="J670" s="493"/>
      <c r="K670" s="493"/>
      <c r="L670" s="493"/>
      <c r="M670" s="493"/>
      <c r="N670" s="493"/>
      <c r="O670" s="493"/>
      <c r="P670" s="493"/>
      <c r="Q670" s="493"/>
      <c r="R670" s="493"/>
      <c r="S670" s="493"/>
      <c r="T670" s="493"/>
      <c r="U670" s="493"/>
      <c r="V670" s="466"/>
      <c r="W670" s="467"/>
      <c r="X670" s="468"/>
      <c r="Y670" s="466"/>
      <c r="Z670" s="467"/>
      <c r="AA670" s="467"/>
      <c r="AB670" s="468"/>
      <c r="AC670" s="828"/>
      <c r="AD670" s="829"/>
      <c r="AE670" s="829"/>
      <c r="AF670" s="830"/>
      <c r="AG670" s="491"/>
      <c r="AH670" s="491"/>
      <c r="AI670" s="491"/>
      <c r="AJ670" s="491"/>
      <c r="AK670" s="491"/>
      <c r="AL670" s="491"/>
      <c r="AM670" s="491"/>
      <c r="AN670" s="491"/>
      <c r="AO670" s="491"/>
      <c r="AP670" s="491"/>
      <c r="AQ670" s="491"/>
      <c r="AR670" s="492"/>
    </row>
    <row r="671" spans="3:44" ht="18" customHeight="1">
      <c r="C671" s="758"/>
      <c r="D671" s="759"/>
      <c r="E671" s="760"/>
      <c r="F671" s="493"/>
      <c r="G671" s="493"/>
      <c r="H671" s="493"/>
      <c r="I671" s="493"/>
      <c r="J671" s="493"/>
      <c r="K671" s="493"/>
      <c r="L671" s="493"/>
      <c r="M671" s="493"/>
      <c r="N671" s="493"/>
      <c r="O671" s="493"/>
      <c r="P671" s="493"/>
      <c r="Q671" s="493"/>
      <c r="R671" s="493"/>
      <c r="S671" s="493"/>
      <c r="T671" s="493"/>
      <c r="U671" s="493"/>
      <c r="V671" s="466"/>
      <c r="W671" s="467"/>
      <c r="X671" s="468"/>
      <c r="Y671" s="466"/>
      <c r="Z671" s="467"/>
      <c r="AA671" s="467"/>
      <c r="AB671" s="468"/>
      <c r="AC671" s="828"/>
      <c r="AD671" s="829"/>
      <c r="AE671" s="829"/>
      <c r="AF671" s="830"/>
      <c r="AG671" s="491"/>
      <c r="AH671" s="491"/>
      <c r="AI671" s="491"/>
      <c r="AJ671" s="491"/>
      <c r="AK671" s="491"/>
      <c r="AL671" s="491"/>
      <c r="AM671" s="491"/>
      <c r="AN671" s="491"/>
      <c r="AO671" s="491"/>
      <c r="AP671" s="491"/>
      <c r="AQ671" s="491"/>
      <c r="AR671" s="492"/>
    </row>
    <row r="672" spans="3:44" ht="18" customHeight="1">
      <c r="C672" s="758"/>
      <c r="D672" s="759"/>
      <c r="E672" s="760"/>
      <c r="F672" s="796"/>
      <c r="G672" s="797"/>
      <c r="H672" s="797"/>
      <c r="I672" s="797"/>
      <c r="J672" s="797"/>
      <c r="K672" s="797"/>
      <c r="L672" s="797"/>
      <c r="M672" s="797"/>
      <c r="N672" s="797"/>
      <c r="O672" s="797"/>
      <c r="P672" s="797"/>
      <c r="Q672" s="797"/>
      <c r="R672" s="797"/>
      <c r="S672" s="797"/>
      <c r="T672" s="797"/>
      <c r="U672" s="798"/>
      <c r="V672" s="466"/>
      <c r="W672" s="467"/>
      <c r="X672" s="468"/>
      <c r="Y672" s="466"/>
      <c r="Z672" s="467"/>
      <c r="AA672" s="467"/>
      <c r="AB672" s="468"/>
      <c r="AC672" s="828"/>
      <c r="AD672" s="829"/>
      <c r="AE672" s="829"/>
      <c r="AF672" s="830"/>
      <c r="AG672" s="466"/>
      <c r="AH672" s="467"/>
      <c r="AI672" s="467"/>
      <c r="AJ672" s="468"/>
      <c r="AK672" s="466"/>
      <c r="AL672" s="467"/>
      <c r="AM672" s="467"/>
      <c r="AN672" s="468"/>
      <c r="AO672" s="466"/>
      <c r="AP672" s="467"/>
      <c r="AQ672" s="467"/>
      <c r="AR672" s="823"/>
    </row>
    <row r="673" spans="3:44" ht="18" customHeight="1">
      <c r="C673" s="758"/>
      <c r="D673" s="759"/>
      <c r="E673" s="760"/>
      <c r="F673" s="796"/>
      <c r="G673" s="797"/>
      <c r="H673" s="797"/>
      <c r="I673" s="797"/>
      <c r="J673" s="797"/>
      <c r="K673" s="797"/>
      <c r="L673" s="797"/>
      <c r="M673" s="797"/>
      <c r="N673" s="797"/>
      <c r="O673" s="797"/>
      <c r="P673" s="797"/>
      <c r="Q673" s="797"/>
      <c r="R673" s="797"/>
      <c r="S673" s="797"/>
      <c r="T673" s="797"/>
      <c r="U673" s="798"/>
      <c r="V673" s="466"/>
      <c r="W673" s="467"/>
      <c r="X673" s="468"/>
      <c r="Y673" s="466"/>
      <c r="Z673" s="467"/>
      <c r="AA673" s="467"/>
      <c r="AB673" s="468"/>
      <c r="AC673" s="828"/>
      <c r="AD673" s="829"/>
      <c r="AE673" s="829"/>
      <c r="AF673" s="830"/>
      <c r="AG673" s="466"/>
      <c r="AH673" s="467"/>
      <c r="AI673" s="467"/>
      <c r="AJ673" s="468"/>
      <c r="AK673" s="466"/>
      <c r="AL673" s="467"/>
      <c r="AM673" s="467"/>
      <c r="AN673" s="468"/>
      <c r="AO673" s="466"/>
      <c r="AP673" s="467"/>
      <c r="AQ673" s="467"/>
      <c r="AR673" s="823"/>
    </row>
    <row r="674" spans="3:44" ht="18" customHeight="1">
      <c r="C674" s="743"/>
      <c r="D674" s="744"/>
      <c r="E674" s="744"/>
      <c r="F674" s="744"/>
      <c r="G674" s="744"/>
      <c r="H674" s="744"/>
      <c r="I674" s="744"/>
      <c r="J674" s="744"/>
      <c r="K674" s="744"/>
      <c r="L674" s="744"/>
      <c r="M674" s="744"/>
      <c r="N674" s="744"/>
      <c r="O674" s="744"/>
      <c r="P674" s="744"/>
      <c r="Q674" s="744"/>
      <c r="R674" s="744"/>
      <c r="S674" s="744"/>
      <c r="T674" s="744"/>
      <c r="U674" s="744"/>
      <c r="V674" s="744"/>
      <c r="W674" s="744"/>
      <c r="X674" s="824"/>
      <c r="Y674" s="825" t="s">
        <v>74</v>
      </c>
      <c r="Z674" s="826"/>
      <c r="AA674" s="826"/>
      <c r="AB674" s="826"/>
      <c r="AC674" s="826"/>
      <c r="AD674" s="826"/>
      <c r="AE674" s="826"/>
      <c r="AF674" s="826"/>
      <c r="AG674" s="826"/>
      <c r="AH674" s="826"/>
      <c r="AI674" s="826"/>
      <c r="AJ674" s="826"/>
      <c r="AK674" s="826"/>
      <c r="AL674" s="826"/>
      <c r="AM674" s="826"/>
      <c r="AN674" s="827"/>
      <c r="AO674" s="477">
        <f>SUM(AO666:AR673)</f>
        <v>0</v>
      </c>
      <c r="AP674" s="746"/>
      <c r="AQ674" s="746"/>
      <c r="AR674" s="747"/>
    </row>
    <row r="676" spans="3:44" ht="18" customHeight="1">
      <c r="C676" s="794" t="s">
        <v>43</v>
      </c>
      <c r="D676" s="774"/>
      <c r="E676" s="775"/>
      <c r="F676" s="773" t="s">
        <v>75</v>
      </c>
      <c r="G676" s="774"/>
      <c r="H676" s="774"/>
      <c r="I676" s="774"/>
      <c r="J676" s="774"/>
      <c r="K676" s="774"/>
      <c r="L676" s="774"/>
      <c r="M676" s="774"/>
      <c r="N676" s="774"/>
      <c r="O676" s="774"/>
      <c r="P676" s="774"/>
      <c r="Q676" s="774"/>
      <c r="R676" s="774"/>
      <c r="S676" s="774"/>
      <c r="T676" s="774"/>
      <c r="U676" s="774"/>
      <c r="V676" s="774"/>
      <c r="W676" s="774"/>
      <c r="X676" s="774"/>
      <c r="Y676" s="774"/>
      <c r="Z676" s="774"/>
      <c r="AA676" s="774"/>
      <c r="AB676" s="775"/>
      <c r="AC676" s="773" t="s">
        <v>76</v>
      </c>
      <c r="AD676" s="774"/>
      <c r="AE676" s="774"/>
      <c r="AF676" s="775"/>
      <c r="AG676" s="773" t="s">
        <v>249</v>
      </c>
      <c r="AH676" s="774"/>
      <c r="AI676" s="774"/>
      <c r="AJ676" s="775"/>
      <c r="AK676" s="773" t="s">
        <v>77</v>
      </c>
      <c r="AL676" s="774"/>
      <c r="AM676" s="774"/>
      <c r="AN676" s="775"/>
      <c r="AO676" s="773" t="s">
        <v>71</v>
      </c>
      <c r="AP676" s="774"/>
      <c r="AQ676" s="774"/>
      <c r="AR676" s="779"/>
    </row>
    <row r="677" spans="3:44" ht="18" customHeight="1">
      <c r="C677" s="795"/>
      <c r="D677" s="777"/>
      <c r="E677" s="778"/>
      <c r="F677" s="776"/>
      <c r="G677" s="777"/>
      <c r="H677" s="777"/>
      <c r="I677" s="777"/>
      <c r="J677" s="777"/>
      <c r="K677" s="777"/>
      <c r="L677" s="777"/>
      <c r="M677" s="777"/>
      <c r="N677" s="777"/>
      <c r="O677" s="777"/>
      <c r="P677" s="777"/>
      <c r="Q677" s="777"/>
      <c r="R677" s="777"/>
      <c r="S677" s="777"/>
      <c r="T677" s="777"/>
      <c r="U677" s="777"/>
      <c r="V677" s="777"/>
      <c r="W677" s="777"/>
      <c r="X677" s="777"/>
      <c r="Y677" s="777"/>
      <c r="Z677" s="777"/>
      <c r="AA677" s="777"/>
      <c r="AB677" s="778"/>
      <c r="AC677" s="776"/>
      <c r="AD677" s="777"/>
      <c r="AE677" s="777"/>
      <c r="AF677" s="778"/>
      <c r="AG677" s="776"/>
      <c r="AH677" s="777"/>
      <c r="AI677" s="777"/>
      <c r="AJ677" s="778"/>
      <c r="AK677" s="776"/>
      <c r="AL677" s="777"/>
      <c r="AM677" s="777"/>
      <c r="AN677" s="778"/>
      <c r="AO677" s="776"/>
      <c r="AP677" s="777"/>
      <c r="AQ677" s="777"/>
      <c r="AR677" s="780"/>
    </row>
    <row r="678" spans="3:44" ht="18" customHeight="1">
      <c r="C678" s="781" t="s">
        <v>940</v>
      </c>
      <c r="D678" s="782"/>
      <c r="E678" s="783"/>
      <c r="F678" s="493" t="s">
        <v>105</v>
      </c>
      <c r="G678" s="493"/>
      <c r="H678" s="493"/>
      <c r="I678" s="493"/>
      <c r="J678" s="493"/>
      <c r="K678" s="493"/>
      <c r="L678" s="493"/>
      <c r="M678" s="493"/>
      <c r="N678" s="493"/>
      <c r="O678" s="493"/>
      <c r="P678" s="493"/>
      <c r="Q678" s="493"/>
      <c r="R678" s="493"/>
      <c r="S678" s="493"/>
      <c r="T678" s="493"/>
      <c r="U678" s="493"/>
      <c r="V678" s="493"/>
      <c r="W678" s="493"/>
      <c r="X678" s="493"/>
      <c r="Y678" s="493"/>
      <c r="Z678" s="493"/>
      <c r="AA678" s="493"/>
      <c r="AB678" s="493"/>
      <c r="AC678" s="770"/>
      <c r="AD678" s="771"/>
      <c r="AE678" s="771"/>
      <c r="AF678" s="790"/>
      <c r="AG678" s="770">
        <v>15</v>
      </c>
      <c r="AH678" s="771"/>
      <c r="AI678" s="771"/>
      <c r="AJ678" s="790"/>
      <c r="AK678" s="449">
        <f>VLOOKUP(C678,[4]MÃODEOBRA!A$1:D$65536,4,FALSE)</f>
        <v>22.98488</v>
      </c>
      <c r="AL678" s="449"/>
      <c r="AM678" s="449"/>
      <c r="AN678" s="449"/>
      <c r="AO678" s="491">
        <f>ROUND(AG678*AK678,2)</f>
        <v>344.77</v>
      </c>
      <c r="AP678" s="491"/>
      <c r="AQ678" s="491"/>
      <c r="AR678" s="492"/>
    </row>
    <row r="679" spans="3:44" ht="18" customHeight="1">
      <c r="C679" s="758"/>
      <c r="D679" s="759"/>
      <c r="E679" s="760"/>
      <c r="F679" s="493"/>
      <c r="G679" s="493"/>
      <c r="H679" s="493"/>
      <c r="I679" s="493"/>
      <c r="J679" s="493"/>
      <c r="K679" s="493"/>
      <c r="L679" s="493"/>
      <c r="M679" s="493"/>
      <c r="N679" s="493"/>
      <c r="O679" s="493"/>
      <c r="P679" s="493"/>
      <c r="Q679" s="493"/>
      <c r="R679" s="493"/>
      <c r="S679" s="493"/>
      <c r="T679" s="493"/>
      <c r="U679" s="493"/>
      <c r="V679" s="493"/>
      <c r="W679" s="493"/>
      <c r="X679" s="493"/>
      <c r="Y679" s="493"/>
      <c r="Z679" s="493"/>
      <c r="AA679" s="493"/>
      <c r="AB679" s="493"/>
      <c r="AC679" s="740"/>
      <c r="AD679" s="741"/>
      <c r="AE679" s="741"/>
      <c r="AF679" s="757"/>
      <c r="AG679" s="740"/>
      <c r="AH679" s="741"/>
      <c r="AI679" s="741"/>
      <c r="AJ679" s="757"/>
      <c r="AK679" s="449"/>
      <c r="AL679" s="449"/>
      <c r="AM679" s="449"/>
      <c r="AN679" s="449"/>
      <c r="AO679" s="491"/>
      <c r="AP679" s="491"/>
      <c r="AQ679" s="491"/>
      <c r="AR679" s="492"/>
    </row>
    <row r="680" spans="3:44" ht="18" customHeight="1">
      <c r="C680" s="758"/>
      <c r="D680" s="759"/>
      <c r="E680" s="760"/>
      <c r="F680" s="796"/>
      <c r="G680" s="797"/>
      <c r="H680" s="797"/>
      <c r="I680" s="797"/>
      <c r="J680" s="797"/>
      <c r="K680" s="797"/>
      <c r="L680" s="797"/>
      <c r="M680" s="797"/>
      <c r="N680" s="797"/>
      <c r="O680" s="797"/>
      <c r="P680" s="797"/>
      <c r="Q680" s="797"/>
      <c r="R680" s="797"/>
      <c r="S680" s="797"/>
      <c r="T680" s="797"/>
      <c r="U680" s="797"/>
      <c r="V680" s="797"/>
      <c r="W680" s="797"/>
      <c r="X680" s="797"/>
      <c r="Y680" s="797"/>
      <c r="Z680" s="797"/>
      <c r="AA680" s="797"/>
      <c r="AB680" s="798"/>
      <c r="AC680" s="740"/>
      <c r="AD680" s="741"/>
      <c r="AE680" s="741"/>
      <c r="AF680" s="757"/>
      <c r="AG680" s="740"/>
      <c r="AH680" s="741"/>
      <c r="AI680" s="741"/>
      <c r="AJ680" s="757"/>
      <c r="AK680" s="740"/>
      <c r="AL680" s="741"/>
      <c r="AM680" s="741"/>
      <c r="AN680" s="757"/>
      <c r="AO680" s="466"/>
      <c r="AP680" s="467"/>
      <c r="AQ680" s="467"/>
      <c r="AR680" s="823"/>
    </row>
    <row r="681" spans="3:44" ht="18" customHeight="1">
      <c r="C681" s="758"/>
      <c r="D681" s="759"/>
      <c r="E681" s="760"/>
      <c r="F681" s="796"/>
      <c r="G681" s="797"/>
      <c r="H681" s="797"/>
      <c r="I681" s="797"/>
      <c r="J681" s="797"/>
      <c r="K681" s="797"/>
      <c r="L681" s="797"/>
      <c r="M681" s="797"/>
      <c r="N681" s="797"/>
      <c r="O681" s="797"/>
      <c r="P681" s="797"/>
      <c r="Q681" s="797"/>
      <c r="R681" s="797"/>
      <c r="S681" s="797"/>
      <c r="T681" s="797"/>
      <c r="U681" s="797"/>
      <c r="V681" s="797"/>
      <c r="W681" s="797"/>
      <c r="X681" s="797"/>
      <c r="Y681" s="797"/>
      <c r="Z681" s="797"/>
      <c r="AA681" s="797"/>
      <c r="AB681" s="798"/>
      <c r="AC681" s="740"/>
      <c r="AD681" s="741"/>
      <c r="AE681" s="741"/>
      <c r="AF681" s="757"/>
      <c r="AG681" s="740"/>
      <c r="AH681" s="741"/>
      <c r="AI681" s="741"/>
      <c r="AJ681" s="757"/>
      <c r="AK681" s="740"/>
      <c r="AL681" s="741"/>
      <c r="AM681" s="741"/>
      <c r="AN681" s="757"/>
      <c r="AO681" s="466"/>
      <c r="AP681" s="467"/>
      <c r="AQ681" s="467"/>
      <c r="AR681" s="823"/>
    </row>
    <row r="682" spans="3:44" ht="18" customHeight="1">
      <c r="C682" s="758"/>
      <c r="D682" s="759"/>
      <c r="E682" s="760"/>
      <c r="F682" s="796"/>
      <c r="G682" s="797"/>
      <c r="H682" s="797"/>
      <c r="I682" s="797"/>
      <c r="J682" s="797"/>
      <c r="K682" s="797"/>
      <c r="L682" s="797"/>
      <c r="M682" s="797"/>
      <c r="N682" s="797"/>
      <c r="O682" s="797"/>
      <c r="P682" s="797"/>
      <c r="Q682" s="797"/>
      <c r="R682" s="797"/>
      <c r="S682" s="797"/>
      <c r="T682" s="797"/>
      <c r="U682" s="797"/>
      <c r="V682" s="797"/>
      <c r="W682" s="797"/>
      <c r="X682" s="797"/>
      <c r="Y682" s="797"/>
      <c r="Z682" s="797"/>
      <c r="AA682" s="797"/>
      <c r="AB682" s="798"/>
      <c r="AC682" s="740"/>
      <c r="AD682" s="741"/>
      <c r="AE682" s="741"/>
      <c r="AF682" s="757"/>
      <c r="AG682" s="740"/>
      <c r="AH682" s="741"/>
      <c r="AI682" s="741"/>
      <c r="AJ682" s="757"/>
      <c r="AK682" s="740"/>
      <c r="AL682" s="741"/>
      <c r="AM682" s="741"/>
      <c r="AN682" s="757"/>
      <c r="AO682" s="466"/>
      <c r="AP682" s="467"/>
      <c r="AQ682" s="467"/>
      <c r="AR682" s="823"/>
    </row>
    <row r="683" spans="3:44" ht="18" customHeight="1">
      <c r="C683" s="758"/>
      <c r="D683" s="759"/>
      <c r="E683" s="760"/>
      <c r="F683" s="796"/>
      <c r="G683" s="797"/>
      <c r="H683" s="797"/>
      <c r="I683" s="797"/>
      <c r="J683" s="797"/>
      <c r="K683" s="797"/>
      <c r="L683" s="797"/>
      <c r="M683" s="797"/>
      <c r="N683" s="797"/>
      <c r="O683" s="797"/>
      <c r="P683" s="797"/>
      <c r="Q683" s="797"/>
      <c r="R683" s="797"/>
      <c r="S683" s="797"/>
      <c r="T683" s="797"/>
      <c r="U683" s="797"/>
      <c r="V683" s="797"/>
      <c r="W683" s="797"/>
      <c r="X683" s="797"/>
      <c r="Y683" s="797"/>
      <c r="Z683" s="797"/>
      <c r="AA683" s="797"/>
      <c r="AB683" s="798"/>
      <c r="AC683" s="740"/>
      <c r="AD683" s="741"/>
      <c r="AE683" s="741"/>
      <c r="AF683" s="757"/>
      <c r="AG683" s="740"/>
      <c r="AH683" s="741"/>
      <c r="AI683" s="741"/>
      <c r="AJ683" s="757"/>
      <c r="AK683" s="740"/>
      <c r="AL683" s="741"/>
      <c r="AM683" s="741"/>
      <c r="AN683" s="757"/>
      <c r="AO683" s="466"/>
      <c r="AP683" s="467"/>
      <c r="AQ683" s="467"/>
      <c r="AR683" s="823"/>
    </row>
    <row r="684" spans="3:44" ht="18" customHeight="1">
      <c r="C684" s="758"/>
      <c r="D684" s="759"/>
      <c r="E684" s="760"/>
      <c r="F684" s="796"/>
      <c r="G684" s="797"/>
      <c r="H684" s="797"/>
      <c r="I684" s="797"/>
      <c r="J684" s="797"/>
      <c r="K684" s="797"/>
      <c r="L684" s="797"/>
      <c r="M684" s="797"/>
      <c r="N684" s="797"/>
      <c r="O684" s="797"/>
      <c r="P684" s="797"/>
      <c r="Q684" s="797"/>
      <c r="R684" s="797"/>
      <c r="S684" s="797"/>
      <c r="T684" s="797"/>
      <c r="U684" s="797"/>
      <c r="V684" s="797"/>
      <c r="W684" s="797"/>
      <c r="X684" s="797"/>
      <c r="Y684" s="797"/>
      <c r="Z684" s="797"/>
      <c r="AA684" s="797"/>
      <c r="AB684" s="798"/>
      <c r="AC684" s="740"/>
      <c r="AD684" s="741"/>
      <c r="AE684" s="741"/>
      <c r="AF684" s="757"/>
      <c r="AG684" s="740"/>
      <c r="AH684" s="741"/>
      <c r="AI684" s="741"/>
      <c r="AJ684" s="757"/>
      <c r="AK684" s="740"/>
      <c r="AL684" s="741"/>
      <c r="AM684" s="741"/>
      <c r="AN684" s="757"/>
      <c r="AO684" s="466"/>
      <c r="AP684" s="467"/>
      <c r="AQ684" s="467"/>
      <c r="AR684" s="823"/>
    </row>
    <row r="685" spans="3:44" ht="18" customHeight="1">
      <c r="C685" s="758"/>
      <c r="D685" s="759"/>
      <c r="E685" s="760"/>
      <c r="F685" s="796"/>
      <c r="G685" s="797"/>
      <c r="H685" s="797"/>
      <c r="I685" s="797"/>
      <c r="J685" s="797"/>
      <c r="K685" s="797"/>
      <c r="L685" s="797"/>
      <c r="M685" s="797"/>
      <c r="N685" s="797"/>
      <c r="O685" s="797"/>
      <c r="P685" s="797"/>
      <c r="Q685" s="797"/>
      <c r="R685" s="797"/>
      <c r="S685" s="797"/>
      <c r="T685" s="797"/>
      <c r="U685" s="797"/>
      <c r="V685" s="797"/>
      <c r="W685" s="797"/>
      <c r="X685" s="797"/>
      <c r="Y685" s="797"/>
      <c r="Z685" s="797"/>
      <c r="AA685" s="797"/>
      <c r="AB685" s="798"/>
      <c r="AC685" s="740"/>
      <c r="AD685" s="741"/>
      <c r="AE685" s="741"/>
      <c r="AF685" s="757"/>
      <c r="AG685" s="740"/>
      <c r="AH685" s="741"/>
      <c r="AI685" s="741"/>
      <c r="AJ685" s="757"/>
      <c r="AK685" s="740"/>
      <c r="AL685" s="741"/>
      <c r="AM685" s="741"/>
      <c r="AN685" s="757"/>
      <c r="AO685" s="466"/>
      <c r="AP685" s="467"/>
      <c r="AQ685" s="467"/>
      <c r="AR685" s="823"/>
    </row>
    <row r="686" spans="3:44" ht="18" customHeight="1">
      <c r="C686" s="814"/>
      <c r="D686" s="815"/>
      <c r="E686" s="815"/>
      <c r="F686" s="815"/>
      <c r="G686" s="815"/>
      <c r="H686" s="815"/>
      <c r="I686" s="815"/>
      <c r="J686" s="815"/>
      <c r="K686" s="815"/>
      <c r="L686" s="815"/>
      <c r="M686" s="815"/>
      <c r="N686" s="815"/>
      <c r="O686" s="815"/>
      <c r="P686" s="815"/>
      <c r="Q686" s="815"/>
      <c r="R686" s="815"/>
      <c r="S686" s="815"/>
      <c r="T686" s="815"/>
      <c r="U686" s="815"/>
      <c r="V686" s="815"/>
      <c r="W686" s="815"/>
      <c r="X686" s="815"/>
      <c r="Y686" s="816" t="s">
        <v>78</v>
      </c>
      <c r="Z686" s="816"/>
      <c r="AA686" s="816"/>
      <c r="AB686" s="816"/>
      <c r="AC686" s="816"/>
      <c r="AD686" s="816"/>
      <c r="AE686" s="816"/>
      <c r="AF686" s="483"/>
      <c r="AG686" s="817" t="s">
        <v>267</v>
      </c>
      <c r="AH686" s="818"/>
      <c r="AI686" s="818"/>
      <c r="AJ686" s="819"/>
      <c r="AK686" s="466">
        <f>SUM(AO678:AR685)</f>
        <v>344.77</v>
      </c>
      <c r="AL686" s="467"/>
      <c r="AM686" s="467"/>
      <c r="AN686" s="468"/>
      <c r="AO686" s="820">
        <f>ROUND(AG686*AK686,2)</f>
        <v>70.709999999999994</v>
      </c>
      <c r="AP686" s="821"/>
      <c r="AQ686" s="821"/>
      <c r="AR686" s="822"/>
    </row>
    <row r="687" spans="3:44" ht="18" customHeight="1">
      <c r="C687" s="743"/>
      <c r="D687" s="744"/>
      <c r="E687" s="744"/>
      <c r="F687" s="744"/>
      <c r="G687" s="744"/>
      <c r="H687" s="744"/>
      <c r="I687" s="744"/>
      <c r="J687" s="744"/>
      <c r="K687" s="744"/>
      <c r="L687" s="744"/>
      <c r="M687" s="744"/>
      <c r="N687" s="744"/>
      <c r="O687" s="744"/>
      <c r="P687" s="744"/>
      <c r="Q687" s="744"/>
      <c r="R687" s="744"/>
      <c r="S687" s="744"/>
      <c r="T687" s="744"/>
      <c r="U687" s="744"/>
      <c r="V687" s="744"/>
      <c r="W687" s="744"/>
      <c r="X687" s="744"/>
      <c r="Y687" s="745" t="s">
        <v>79</v>
      </c>
      <c r="Z687" s="745"/>
      <c r="AA687" s="745"/>
      <c r="AB687" s="745"/>
      <c r="AC687" s="745"/>
      <c r="AD687" s="745"/>
      <c r="AE687" s="745"/>
      <c r="AF687" s="745"/>
      <c r="AG687" s="745"/>
      <c r="AH687" s="745"/>
      <c r="AI687" s="745"/>
      <c r="AJ687" s="745"/>
      <c r="AK687" s="745"/>
      <c r="AL687" s="745"/>
      <c r="AM687" s="745"/>
      <c r="AN687" s="430"/>
      <c r="AO687" s="477">
        <f>SUM(AO678:AR686)</f>
        <v>415.47999999999996</v>
      </c>
      <c r="AP687" s="746"/>
      <c r="AQ687" s="746"/>
      <c r="AR687" s="747"/>
    </row>
    <row r="689" spans="3:44" ht="18" customHeight="1">
      <c r="C689" s="802"/>
      <c r="D689" s="803"/>
      <c r="E689" s="803"/>
      <c r="F689" s="803"/>
      <c r="G689" s="803"/>
      <c r="H689" s="803"/>
      <c r="I689" s="803"/>
      <c r="J689" s="803"/>
      <c r="K689" s="803"/>
      <c r="L689" s="803"/>
      <c r="M689" s="803"/>
      <c r="N689" s="803"/>
      <c r="O689" s="803"/>
      <c r="P689" s="803"/>
      <c r="Q689" s="803"/>
      <c r="R689" s="803"/>
      <c r="S689" s="803"/>
      <c r="T689" s="803"/>
      <c r="U689" s="803"/>
      <c r="V689" s="803"/>
      <c r="W689" s="803"/>
      <c r="X689" s="803"/>
      <c r="Y689" s="804" t="s">
        <v>80</v>
      </c>
      <c r="Z689" s="805"/>
      <c r="AA689" s="805"/>
      <c r="AB689" s="805"/>
      <c r="AC689" s="805"/>
      <c r="AD689" s="805"/>
      <c r="AE689" s="805"/>
      <c r="AF689" s="805"/>
      <c r="AG689" s="805"/>
      <c r="AH689" s="805"/>
      <c r="AI689" s="805"/>
      <c r="AJ689" s="805"/>
      <c r="AK689" s="805"/>
      <c r="AL689" s="805"/>
      <c r="AM689" s="805"/>
      <c r="AN689" s="806"/>
      <c r="AO689" s="807">
        <f>AO674+AO687</f>
        <v>415.47999999999996</v>
      </c>
      <c r="AP689" s="808"/>
      <c r="AQ689" s="808"/>
      <c r="AR689" s="809"/>
    </row>
    <row r="690" spans="3:44" ht="18" customHeight="1">
      <c r="C690" s="810" t="s">
        <v>81</v>
      </c>
      <c r="D690" s="745"/>
      <c r="E690" s="745"/>
      <c r="F690" s="745"/>
      <c r="G690" s="745"/>
      <c r="H690" s="745"/>
      <c r="I690" s="745"/>
      <c r="J690" s="745"/>
      <c r="K690" s="745"/>
      <c r="L690" s="745"/>
      <c r="M690" s="745"/>
      <c r="N690" s="745"/>
      <c r="O690" s="745"/>
      <c r="P690" s="430"/>
      <c r="Q690" s="477">
        <v>1</v>
      </c>
      <c r="R690" s="746"/>
      <c r="S690" s="746"/>
      <c r="T690" s="746"/>
      <c r="U690" s="746"/>
      <c r="V690" s="745" t="s">
        <v>194</v>
      </c>
      <c r="W690" s="745"/>
      <c r="X690" s="430"/>
      <c r="Y690" s="804" t="s">
        <v>82</v>
      </c>
      <c r="Z690" s="805"/>
      <c r="AA690" s="805"/>
      <c r="AB690" s="805"/>
      <c r="AC690" s="805"/>
      <c r="AD690" s="805"/>
      <c r="AE690" s="805"/>
      <c r="AF690" s="805"/>
      <c r="AG690" s="805"/>
      <c r="AH690" s="805"/>
      <c r="AI690" s="805"/>
      <c r="AJ690" s="805"/>
      <c r="AK690" s="805"/>
      <c r="AL690" s="805"/>
      <c r="AM690" s="805"/>
      <c r="AN690" s="806"/>
      <c r="AO690" s="811">
        <f>ROUND(AO689/Q690,2)</f>
        <v>415.48</v>
      </c>
      <c r="AP690" s="812"/>
      <c r="AQ690" s="812"/>
      <c r="AR690" s="813"/>
    </row>
    <row r="692" spans="3:44" ht="18" customHeight="1">
      <c r="C692" s="794" t="s">
        <v>43</v>
      </c>
      <c r="D692" s="774"/>
      <c r="E692" s="775"/>
      <c r="F692" s="773" t="s">
        <v>83</v>
      </c>
      <c r="G692" s="774"/>
      <c r="H692" s="774"/>
      <c r="I692" s="774"/>
      <c r="J692" s="774"/>
      <c r="K692" s="774"/>
      <c r="L692" s="774"/>
      <c r="M692" s="774"/>
      <c r="N692" s="774"/>
      <c r="O692" s="774"/>
      <c r="P692" s="774"/>
      <c r="Q692" s="774"/>
      <c r="R692" s="774"/>
      <c r="S692" s="774"/>
      <c r="T692" s="774"/>
      <c r="U692" s="774"/>
      <c r="V692" s="774"/>
      <c r="W692" s="774"/>
      <c r="X692" s="774"/>
      <c r="Y692" s="774"/>
      <c r="Z692" s="774"/>
      <c r="AA692" s="774"/>
      <c r="AB692" s="775"/>
      <c r="AC692" s="773" t="s">
        <v>84</v>
      </c>
      <c r="AD692" s="774"/>
      <c r="AE692" s="774"/>
      <c r="AF692" s="775"/>
      <c r="AG692" s="773" t="s">
        <v>85</v>
      </c>
      <c r="AH692" s="774"/>
      <c r="AI692" s="774"/>
      <c r="AJ692" s="775"/>
      <c r="AK692" s="773" t="s">
        <v>86</v>
      </c>
      <c r="AL692" s="774"/>
      <c r="AM692" s="774"/>
      <c r="AN692" s="775"/>
      <c r="AO692" s="773" t="s">
        <v>87</v>
      </c>
      <c r="AP692" s="774"/>
      <c r="AQ692" s="774"/>
      <c r="AR692" s="779"/>
    </row>
    <row r="693" spans="3:44" ht="18" customHeight="1">
      <c r="C693" s="795"/>
      <c r="D693" s="777"/>
      <c r="E693" s="778"/>
      <c r="F693" s="776"/>
      <c r="G693" s="777"/>
      <c r="H693" s="777"/>
      <c r="I693" s="777"/>
      <c r="J693" s="777"/>
      <c r="K693" s="777"/>
      <c r="L693" s="777"/>
      <c r="M693" s="777"/>
      <c r="N693" s="777"/>
      <c r="O693" s="777"/>
      <c r="P693" s="777"/>
      <c r="Q693" s="777"/>
      <c r="R693" s="777"/>
      <c r="S693" s="777"/>
      <c r="T693" s="777"/>
      <c r="U693" s="777"/>
      <c r="V693" s="777"/>
      <c r="W693" s="777"/>
      <c r="X693" s="777"/>
      <c r="Y693" s="777"/>
      <c r="Z693" s="777"/>
      <c r="AA693" s="777"/>
      <c r="AB693" s="778"/>
      <c r="AC693" s="776"/>
      <c r="AD693" s="777"/>
      <c r="AE693" s="777"/>
      <c r="AF693" s="778"/>
      <c r="AG693" s="776"/>
      <c r="AH693" s="777"/>
      <c r="AI693" s="777"/>
      <c r="AJ693" s="778"/>
      <c r="AK693" s="776"/>
      <c r="AL693" s="777"/>
      <c r="AM693" s="777"/>
      <c r="AN693" s="778"/>
      <c r="AO693" s="776"/>
      <c r="AP693" s="777"/>
      <c r="AQ693" s="777"/>
      <c r="AR693" s="780"/>
    </row>
    <row r="694" spans="3:44" ht="18" customHeight="1">
      <c r="C694" s="758" t="s">
        <v>857</v>
      </c>
      <c r="D694" s="759"/>
      <c r="E694" s="760"/>
      <c r="F694" s="796" t="s">
        <v>374</v>
      </c>
      <c r="G694" s="797"/>
      <c r="H694" s="797"/>
      <c r="I694" s="797"/>
      <c r="J694" s="797"/>
      <c r="K694" s="797"/>
      <c r="L694" s="797"/>
      <c r="M694" s="797"/>
      <c r="N694" s="797"/>
      <c r="O694" s="797"/>
      <c r="P694" s="797"/>
      <c r="Q694" s="797"/>
      <c r="R694" s="797"/>
      <c r="S694" s="797"/>
      <c r="T694" s="797"/>
      <c r="U694" s="797"/>
      <c r="V694" s="797"/>
      <c r="W694" s="797"/>
      <c r="X694" s="797"/>
      <c r="Y694" s="797"/>
      <c r="Z694" s="797"/>
      <c r="AA694" s="797"/>
      <c r="AB694" s="798"/>
      <c r="AC694" s="799" t="s">
        <v>245</v>
      </c>
      <c r="AD694" s="800"/>
      <c r="AE694" s="800"/>
      <c r="AF694" s="801"/>
      <c r="AG694" s="466">
        <f>TRUNC(301.73/1.2031,2)</f>
        <v>250.79</v>
      </c>
      <c r="AH694" s="467"/>
      <c r="AI694" s="467"/>
      <c r="AJ694" s="468"/>
      <c r="AK694" s="737">
        <v>0.86399999999999999</v>
      </c>
      <c r="AL694" s="738"/>
      <c r="AM694" s="738"/>
      <c r="AN694" s="739"/>
      <c r="AO694" s="740">
        <f>ROUND(AG694*AK694,2)</f>
        <v>216.68</v>
      </c>
      <c r="AP694" s="741"/>
      <c r="AQ694" s="741"/>
      <c r="AR694" s="742"/>
    </row>
    <row r="695" spans="3:44" ht="18" customHeight="1">
      <c r="C695" s="758" t="s">
        <v>1377</v>
      </c>
      <c r="D695" s="759"/>
      <c r="E695" s="760"/>
      <c r="F695" s="796" t="s">
        <v>417</v>
      </c>
      <c r="G695" s="797"/>
      <c r="H695" s="797"/>
      <c r="I695" s="797"/>
      <c r="J695" s="797"/>
      <c r="K695" s="797"/>
      <c r="L695" s="797"/>
      <c r="M695" s="797"/>
      <c r="N695" s="797"/>
      <c r="O695" s="797"/>
      <c r="P695" s="797"/>
      <c r="Q695" s="797"/>
      <c r="R695" s="797"/>
      <c r="S695" s="797"/>
      <c r="T695" s="797"/>
      <c r="U695" s="797"/>
      <c r="V695" s="797"/>
      <c r="W695" s="797"/>
      <c r="X695" s="797"/>
      <c r="Y695" s="797"/>
      <c r="Z695" s="797"/>
      <c r="AA695" s="797"/>
      <c r="AB695" s="798"/>
      <c r="AC695" s="799" t="s">
        <v>245</v>
      </c>
      <c r="AD695" s="800"/>
      <c r="AE695" s="800"/>
      <c r="AF695" s="801"/>
      <c r="AG695" s="466">
        <f>TRUNC(373.21/1.2031,2)</f>
        <v>310.2</v>
      </c>
      <c r="AH695" s="467"/>
      <c r="AI695" s="467"/>
      <c r="AJ695" s="468"/>
      <c r="AK695" s="737">
        <v>6.2190000000000003</v>
      </c>
      <c r="AL695" s="738"/>
      <c r="AM695" s="738"/>
      <c r="AN695" s="739"/>
      <c r="AO695" s="740">
        <f>ROUND(AG695*AK695,2)</f>
        <v>1929.13</v>
      </c>
      <c r="AP695" s="741"/>
      <c r="AQ695" s="741"/>
      <c r="AR695" s="742"/>
    </row>
    <row r="696" spans="3:44" ht="18" customHeight="1">
      <c r="C696" s="758" t="s">
        <v>1376</v>
      </c>
      <c r="D696" s="759"/>
      <c r="E696" s="760"/>
      <c r="F696" s="796" t="s">
        <v>370</v>
      </c>
      <c r="G696" s="797"/>
      <c r="H696" s="797"/>
      <c r="I696" s="797"/>
      <c r="J696" s="797"/>
      <c r="K696" s="797"/>
      <c r="L696" s="797"/>
      <c r="M696" s="797"/>
      <c r="N696" s="797"/>
      <c r="O696" s="797"/>
      <c r="P696" s="797"/>
      <c r="Q696" s="797"/>
      <c r="R696" s="797"/>
      <c r="S696" s="797"/>
      <c r="T696" s="797"/>
      <c r="U696" s="797"/>
      <c r="V696" s="797"/>
      <c r="W696" s="797"/>
      <c r="X696" s="797"/>
      <c r="Y696" s="797"/>
      <c r="Z696" s="797"/>
      <c r="AA696" s="797"/>
      <c r="AB696" s="798"/>
      <c r="AC696" s="799" t="s">
        <v>309</v>
      </c>
      <c r="AD696" s="800"/>
      <c r="AE696" s="800"/>
      <c r="AF696" s="801"/>
      <c r="AG696" s="466">
        <f>TRUNC(43.8/1.2031,2)</f>
        <v>36.4</v>
      </c>
      <c r="AH696" s="467"/>
      <c r="AI696" s="467"/>
      <c r="AJ696" s="468"/>
      <c r="AK696" s="737">
        <v>74.88</v>
      </c>
      <c r="AL696" s="738"/>
      <c r="AM696" s="738"/>
      <c r="AN696" s="739"/>
      <c r="AO696" s="740">
        <f>ROUND(AG696*AK696,2)</f>
        <v>2725.63</v>
      </c>
      <c r="AP696" s="741"/>
      <c r="AQ696" s="741"/>
      <c r="AR696" s="742"/>
    </row>
    <row r="697" spans="3:44" ht="18" customHeight="1">
      <c r="C697" s="758" t="s">
        <v>859</v>
      </c>
      <c r="D697" s="759"/>
      <c r="E697" s="760"/>
      <c r="F697" s="796" t="s">
        <v>441</v>
      </c>
      <c r="G697" s="797"/>
      <c r="H697" s="797"/>
      <c r="I697" s="797"/>
      <c r="J697" s="797"/>
      <c r="K697" s="797"/>
      <c r="L697" s="797"/>
      <c r="M697" s="797"/>
      <c r="N697" s="797"/>
      <c r="O697" s="797"/>
      <c r="P697" s="797"/>
      <c r="Q697" s="797"/>
      <c r="R697" s="797"/>
      <c r="S697" s="797"/>
      <c r="T697" s="797"/>
      <c r="U697" s="797"/>
      <c r="V697" s="797"/>
      <c r="W697" s="797"/>
      <c r="X697" s="797"/>
      <c r="Y697" s="797"/>
      <c r="Z697" s="797"/>
      <c r="AA697" s="797"/>
      <c r="AB697" s="798"/>
      <c r="AC697" s="799" t="s">
        <v>194</v>
      </c>
      <c r="AD697" s="800"/>
      <c r="AE697" s="800"/>
      <c r="AF697" s="801"/>
      <c r="AG697" s="466">
        <f>TRUNC(216.57/1.2031,2)</f>
        <v>180</v>
      </c>
      <c r="AH697" s="467"/>
      <c r="AI697" s="467"/>
      <c r="AJ697" s="468"/>
      <c r="AK697" s="737">
        <v>1</v>
      </c>
      <c r="AL697" s="738"/>
      <c r="AM697" s="738"/>
      <c r="AN697" s="739"/>
      <c r="AO697" s="740">
        <f>ROUND(AG697*AK697,2)</f>
        <v>180</v>
      </c>
      <c r="AP697" s="741"/>
      <c r="AQ697" s="741"/>
      <c r="AR697" s="742"/>
    </row>
    <row r="698" spans="3:44" ht="18" customHeight="1">
      <c r="C698" s="758" t="s">
        <v>1384</v>
      </c>
      <c r="D698" s="759"/>
      <c r="E698" s="760"/>
      <c r="F698" s="796" t="s">
        <v>371</v>
      </c>
      <c r="G698" s="797"/>
      <c r="H698" s="797"/>
      <c r="I698" s="797"/>
      <c r="J698" s="797"/>
      <c r="K698" s="797"/>
      <c r="L698" s="797"/>
      <c r="M698" s="797"/>
      <c r="N698" s="797"/>
      <c r="O698" s="797"/>
      <c r="P698" s="797"/>
      <c r="Q698" s="797"/>
      <c r="R698" s="797"/>
      <c r="S698" s="797"/>
      <c r="T698" s="797"/>
      <c r="U698" s="797"/>
      <c r="V698" s="797"/>
      <c r="W698" s="797"/>
      <c r="X698" s="797"/>
      <c r="Y698" s="797"/>
      <c r="Z698" s="797"/>
      <c r="AA698" s="797"/>
      <c r="AB698" s="798"/>
      <c r="AC698" s="799" t="s">
        <v>246</v>
      </c>
      <c r="AD698" s="800"/>
      <c r="AE698" s="800"/>
      <c r="AF698" s="801"/>
      <c r="AG698" s="466">
        <f>TRUNC(5.97/1.2031,2)</f>
        <v>4.96</v>
      </c>
      <c r="AH698" s="467"/>
      <c r="AI698" s="467"/>
      <c r="AJ698" s="468"/>
      <c r="AK698" s="737">
        <v>40</v>
      </c>
      <c r="AL698" s="738"/>
      <c r="AM698" s="738"/>
      <c r="AN698" s="739"/>
      <c r="AO698" s="740">
        <f>ROUND(AG698*AK698,2)</f>
        <v>198.4</v>
      </c>
      <c r="AP698" s="741"/>
      <c r="AQ698" s="741"/>
      <c r="AR698" s="742"/>
    </row>
    <row r="699" spans="3:44" ht="18" customHeight="1">
      <c r="C699" s="758"/>
      <c r="D699" s="759"/>
      <c r="E699" s="760"/>
      <c r="F699" s="796"/>
      <c r="G699" s="797"/>
      <c r="H699" s="797"/>
      <c r="I699" s="797"/>
      <c r="J699" s="797"/>
      <c r="K699" s="797"/>
      <c r="L699" s="797"/>
      <c r="M699" s="797"/>
      <c r="N699" s="797"/>
      <c r="O699" s="797"/>
      <c r="P699" s="797"/>
      <c r="Q699" s="797"/>
      <c r="R699" s="797"/>
      <c r="S699" s="797"/>
      <c r="T699" s="797"/>
      <c r="U699" s="797"/>
      <c r="V699" s="797"/>
      <c r="W699" s="797"/>
      <c r="X699" s="797"/>
      <c r="Y699" s="797"/>
      <c r="Z699" s="797"/>
      <c r="AA699" s="797"/>
      <c r="AB699" s="798"/>
      <c r="AC699" s="799"/>
      <c r="AD699" s="800"/>
      <c r="AE699" s="800"/>
      <c r="AF699" s="801"/>
      <c r="AG699" s="466"/>
      <c r="AH699" s="467"/>
      <c r="AI699" s="467"/>
      <c r="AJ699" s="468"/>
      <c r="AK699" s="737"/>
      <c r="AL699" s="738"/>
      <c r="AM699" s="738"/>
      <c r="AN699" s="739"/>
      <c r="AO699" s="740"/>
      <c r="AP699" s="741"/>
      <c r="AQ699" s="741"/>
      <c r="AR699" s="742"/>
    </row>
    <row r="700" spans="3:44" ht="18" customHeight="1">
      <c r="C700" s="758"/>
      <c r="D700" s="759"/>
      <c r="E700" s="760"/>
      <c r="F700" s="796"/>
      <c r="G700" s="797"/>
      <c r="H700" s="797"/>
      <c r="I700" s="797"/>
      <c r="J700" s="797"/>
      <c r="K700" s="797"/>
      <c r="L700" s="797"/>
      <c r="M700" s="797"/>
      <c r="N700" s="797"/>
      <c r="O700" s="797"/>
      <c r="P700" s="797"/>
      <c r="Q700" s="797"/>
      <c r="R700" s="797"/>
      <c r="S700" s="797"/>
      <c r="T700" s="797"/>
      <c r="U700" s="797"/>
      <c r="V700" s="797"/>
      <c r="W700" s="797"/>
      <c r="X700" s="797"/>
      <c r="Y700" s="797"/>
      <c r="Z700" s="797"/>
      <c r="AA700" s="797"/>
      <c r="AB700" s="798"/>
      <c r="AC700" s="799"/>
      <c r="AD700" s="800"/>
      <c r="AE700" s="800"/>
      <c r="AF700" s="801"/>
      <c r="AG700" s="466"/>
      <c r="AH700" s="467"/>
      <c r="AI700" s="467"/>
      <c r="AJ700" s="468"/>
      <c r="AK700" s="737"/>
      <c r="AL700" s="738"/>
      <c r="AM700" s="738"/>
      <c r="AN700" s="739"/>
      <c r="AO700" s="740"/>
      <c r="AP700" s="741"/>
      <c r="AQ700" s="741"/>
      <c r="AR700" s="742"/>
    </row>
    <row r="701" spans="3:44" ht="18" customHeight="1">
      <c r="C701" s="758"/>
      <c r="D701" s="759"/>
      <c r="E701" s="760"/>
      <c r="F701" s="796"/>
      <c r="G701" s="797"/>
      <c r="H701" s="797"/>
      <c r="I701" s="797"/>
      <c r="J701" s="797"/>
      <c r="K701" s="797"/>
      <c r="L701" s="797"/>
      <c r="M701" s="797"/>
      <c r="N701" s="797"/>
      <c r="O701" s="797"/>
      <c r="P701" s="797"/>
      <c r="Q701" s="797"/>
      <c r="R701" s="797"/>
      <c r="S701" s="797"/>
      <c r="T701" s="797"/>
      <c r="U701" s="797"/>
      <c r="V701" s="797"/>
      <c r="W701" s="797"/>
      <c r="X701" s="797"/>
      <c r="Y701" s="797"/>
      <c r="Z701" s="797"/>
      <c r="AA701" s="797"/>
      <c r="AB701" s="798"/>
      <c r="AC701" s="799"/>
      <c r="AD701" s="800"/>
      <c r="AE701" s="800"/>
      <c r="AF701" s="801"/>
      <c r="AG701" s="466"/>
      <c r="AH701" s="467"/>
      <c r="AI701" s="467"/>
      <c r="AJ701" s="468"/>
      <c r="AK701" s="737"/>
      <c r="AL701" s="738"/>
      <c r="AM701" s="738"/>
      <c r="AN701" s="739"/>
      <c r="AO701" s="740"/>
      <c r="AP701" s="741"/>
      <c r="AQ701" s="741"/>
      <c r="AR701" s="742"/>
    </row>
    <row r="702" spans="3:44" ht="18" customHeight="1">
      <c r="C702" s="743"/>
      <c r="D702" s="744"/>
      <c r="E702" s="744"/>
      <c r="F702" s="744"/>
      <c r="G702" s="744"/>
      <c r="H702" s="744"/>
      <c r="I702" s="744"/>
      <c r="J702" s="744"/>
      <c r="K702" s="744"/>
      <c r="L702" s="744"/>
      <c r="M702" s="744"/>
      <c r="N702" s="744"/>
      <c r="O702" s="744"/>
      <c r="P702" s="744"/>
      <c r="Q702" s="744"/>
      <c r="R702" s="744"/>
      <c r="S702" s="744"/>
      <c r="T702" s="744"/>
      <c r="U702" s="744"/>
      <c r="V702" s="744"/>
      <c r="W702" s="744"/>
      <c r="X702" s="744"/>
      <c r="Y702" s="745" t="s">
        <v>88</v>
      </c>
      <c r="Z702" s="745"/>
      <c r="AA702" s="745"/>
      <c r="AB702" s="745"/>
      <c r="AC702" s="745"/>
      <c r="AD702" s="745"/>
      <c r="AE702" s="745"/>
      <c r="AF702" s="745"/>
      <c r="AG702" s="745"/>
      <c r="AH702" s="745"/>
      <c r="AI702" s="745"/>
      <c r="AJ702" s="745"/>
      <c r="AK702" s="745"/>
      <c r="AL702" s="745"/>
      <c r="AM702" s="745"/>
      <c r="AN702" s="430"/>
      <c r="AO702" s="477">
        <f>SUM(AO694:AR701)</f>
        <v>5249.84</v>
      </c>
      <c r="AP702" s="746"/>
      <c r="AQ702" s="746"/>
      <c r="AR702" s="747"/>
    </row>
    <row r="704" spans="3:44" ht="18" customHeight="1">
      <c r="C704" s="794" t="s">
        <v>43</v>
      </c>
      <c r="D704" s="774"/>
      <c r="E704" s="775"/>
      <c r="F704" s="773" t="s">
        <v>89</v>
      </c>
      <c r="G704" s="774"/>
      <c r="H704" s="774"/>
      <c r="I704" s="774"/>
      <c r="J704" s="774"/>
      <c r="K704" s="774"/>
      <c r="L704" s="774"/>
      <c r="M704" s="774"/>
      <c r="N704" s="774"/>
      <c r="O704" s="774"/>
      <c r="P704" s="774"/>
      <c r="Q704" s="774"/>
      <c r="R704" s="775"/>
      <c r="S704" s="773" t="s">
        <v>90</v>
      </c>
      <c r="T704" s="774"/>
      <c r="U704" s="775"/>
      <c r="V704" s="773" t="s">
        <v>91</v>
      </c>
      <c r="W704" s="774"/>
      <c r="X704" s="775"/>
      <c r="Y704" s="773" t="s">
        <v>92</v>
      </c>
      <c r="Z704" s="774"/>
      <c r="AA704" s="774"/>
      <c r="AB704" s="774"/>
      <c r="AC704" s="774"/>
      <c r="AD704" s="775"/>
      <c r="AE704" s="773" t="s">
        <v>93</v>
      </c>
      <c r="AF704" s="774"/>
      <c r="AG704" s="775"/>
      <c r="AH704" s="773" t="s">
        <v>94</v>
      </c>
      <c r="AI704" s="774"/>
      <c r="AJ704" s="775"/>
      <c r="AK704" s="773" t="s">
        <v>86</v>
      </c>
      <c r="AL704" s="774"/>
      <c r="AM704" s="774"/>
      <c r="AN704" s="775"/>
      <c r="AO704" s="773" t="s">
        <v>87</v>
      </c>
      <c r="AP704" s="774"/>
      <c r="AQ704" s="774"/>
      <c r="AR704" s="779"/>
    </row>
    <row r="705" spans="1:44" ht="18" customHeight="1">
      <c r="C705" s="795"/>
      <c r="D705" s="777"/>
      <c r="E705" s="778"/>
      <c r="F705" s="776"/>
      <c r="G705" s="777"/>
      <c r="H705" s="777"/>
      <c r="I705" s="777"/>
      <c r="J705" s="777"/>
      <c r="K705" s="777"/>
      <c r="L705" s="777"/>
      <c r="M705" s="777"/>
      <c r="N705" s="777"/>
      <c r="O705" s="777"/>
      <c r="P705" s="777"/>
      <c r="Q705" s="777"/>
      <c r="R705" s="778"/>
      <c r="S705" s="776"/>
      <c r="T705" s="777"/>
      <c r="U705" s="778"/>
      <c r="V705" s="776"/>
      <c r="W705" s="777"/>
      <c r="X705" s="778"/>
      <c r="Y705" s="776"/>
      <c r="Z705" s="777"/>
      <c r="AA705" s="777"/>
      <c r="AB705" s="777"/>
      <c r="AC705" s="777"/>
      <c r="AD705" s="778"/>
      <c r="AE705" s="776"/>
      <c r="AF705" s="777"/>
      <c r="AG705" s="778"/>
      <c r="AH705" s="776"/>
      <c r="AI705" s="777"/>
      <c r="AJ705" s="778"/>
      <c r="AK705" s="776"/>
      <c r="AL705" s="777"/>
      <c r="AM705" s="777"/>
      <c r="AN705" s="778"/>
      <c r="AO705" s="776"/>
      <c r="AP705" s="777"/>
      <c r="AQ705" s="777"/>
      <c r="AR705" s="780"/>
    </row>
    <row r="706" spans="1:44" ht="18" customHeight="1">
      <c r="C706" s="781"/>
      <c r="D706" s="782"/>
      <c r="E706" s="783"/>
      <c r="F706" s="457"/>
      <c r="G706" s="457"/>
      <c r="H706" s="457"/>
      <c r="I706" s="457"/>
      <c r="J706" s="457"/>
      <c r="K706" s="457"/>
      <c r="L706" s="457"/>
      <c r="M706" s="457"/>
      <c r="N706" s="457"/>
      <c r="O706" s="457"/>
      <c r="P706" s="457"/>
      <c r="Q706" s="457"/>
      <c r="R706" s="457"/>
      <c r="S706" s="784"/>
      <c r="T706" s="785"/>
      <c r="U706" s="786"/>
      <c r="V706" s="784"/>
      <c r="W706" s="785"/>
      <c r="X706" s="786"/>
      <c r="Y706" s="787"/>
      <c r="Z706" s="788"/>
      <c r="AA706" s="788"/>
      <c r="AB706" s="788"/>
      <c r="AC706" s="788"/>
      <c r="AD706" s="789"/>
      <c r="AE706" s="449"/>
      <c r="AF706" s="449"/>
      <c r="AG706" s="449"/>
      <c r="AH706" s="770"/>
      <c r="AI706" s="771"/>
      <c r="AJ706" s="790"/>
      <c r="AK706" s="791"/>
      <c r="AL706" s="792"/>
      <c r="AM706" s="792"/>
      <c r="AN706" s="793"/>
      <c r="AO706" s="770"/>
      <c r="AP706" s="771"/>
      <c r="AQ706" s="771"/>
      <c r="AR706" s="772"/>
    </row>
    <row r="707" spans="1:44" ht="18" customHeight="1">
      <c r="C707" s="758"/>
      <c r="D707" s="759"/>
      <c r="E707" s="760"/>
      <c r="F707" s="761"/>
      <c r="G707" s="762"/>
      <c r="H707" s="762"/>
      <c r="I707" s="762"/>
      <c r="J707" s="762"/>
      <c r="K707" s="762"/>
      <c r="L707" s="762"/>
      <c r="M707" s="762"/>
      <c r="N707" s="762"/>
      <c r="O707" s="762"/>
      <c r="P707" s="762"/>
      <c r="Q707" s="762"/>
      <c r="R707" s="763"/>
      <c r="S707" s="764"/>
      <c r="T707" s="765"/>
      <c r="U707" s="766"/>
      <c r="V707" s="764"/>
      <c r="W707" s="765"/>
      <c r="X707" s="766"/>
      <c r="Y707" s="767"/>
      <c r="Z707" s="768"/>
      <c r="AA707" s="768"/>
      <c r="AB707" s="768"/>
      <c r="AC707" s="768"/>
      <c r="AD707" s="769"/>
      <c r="AE707" s="740"/>
      <c r="AF707" s="741"/>
      <c r="AG707" s="757"/>
      <c r="AH707" s="740"/>
      <c r="AI707" s="741"/>
      <c r="AJ707" s="757"/>
      <c r="AK707" s="737"/>
      <c r="AL707" s="738"/>
      <c r="AM707" s="738"/>
      <c r="AN707" s="739"/>
      <c r="AO707" s="740">
        <f t="shared" ref="AO707:AO713" si="10">ROUND(AE707*AH707*AK707,2)</f>
        <v>0</v>
      </c>
      <c r="AP707" s="741"/>
      <c r="AQ707" s="741"/>
      <c r="AR707" s="742"/>
    </row>
    <row r="708" spans="1:44" ht="18" customHeight="1">
      <c r="C708" s="758"/>
      <c r="D708" s="759"/>
      <c r="E708" s="760"/>
      <c r="F708" s="761"/>
      <c r="G708" s="762"/>
      <c r="H708" s="762"/>
      <c r="I708" s="762"/>
      <c r="J708" s="762"/>
      <c r="K708" s="762"/>
      <c r="L708" s="762"/>
      <c r="M708" s="762"/>
      <c r="N708" s="762"/>
      <c r="O708" s="762"/>
      <c r="P708" s="762"/>
      <c r="Q708" s="762"/>
      <c r="R708" s="763"/>
      <c r="S708" s="764"/>
      <c r="T708" s="765"/>
      <c r="U708" s="766"/>
      <c r="V708" s="764"/>
      <c r="W708" s="765"/>
      <c r="X708" s="766"/>
      <c r="Y708" s="767"/>
      <c r="Z708" s="768"/>
      <c r="AA708" s="768"/>
      <c r="AB708" s="768"/>
      <c r="AC708" s="768"/>
      <c r="AD708" s="769"/>
      <c r="AE708" s="740"/>
      <c r="AF708" s="741"/>
      <c r="AG708" s="757"/>
      <c r="AH708" s="740"/>
      <c r="AI708" s="741"/>
      <c r="AJ708" s="757"/>
      <c r="AK708" s="737"/>
      <c r="AL708" s="738"/>
      <c r="AM708" s="738"/>
      <c r="AN708" s="739"/>
      <c r="AO708" s="740">
        <f t="shared" si="10"/>
        <v>0</v>
      </c>
      <c r="AP708" s="741"/>
      <c r="AQ708" s="741"/>
      <c r="AR708" s="742"/>
    </row>
    <row r="709" spans="1:44" ht="18" customHeight="1">
      <c r="C709" s="758"/>
      <c r="D709" s="759"/>
      <c r="E709" s="760"/>
      <c r="F709" s="761"/>
      <c r="G709" s="762"/>
      <c r="H709" s="762"/>
      <c r="I709" s="762"/>
      <c r="J709" s="762"/>
      <c r="K709" s="762"/>
      <c r="L709" s="762"/>
      <c r="M709" s="762"/>
      <c r="N709" s="762"/>
      <c r="O709" s="762"/>
      <c r="P709" s="762"/>
      <c r="Q709" s="762"/>
      <c r="R709" s="763"/>
      <c r="S709" s="764"/>
      <c r="T709" s="765"/>
      <c r="U709" s="766"/>
      <c r="V709" s="764"/>
      <c r="W709" s="765"/>
      <c r="X709" s="766"/>
      <c r="Y709" s="767"/>
      <c r="Z709" s="768"/>
      <c r="AA709" s="768"/>
      <c r="AB709" s="768"/>
      <c r="AC709" s="768"/>
      <c r="AD709" s="769"/>
      <c r="AE709" s="740"/>
      <c r="AF709" s="741"/>
      <c r="AG709" s="757"/>
      <c r="AH709" s="740"/>
      <c r="AI709" s="741"/>
      <c r="AJ709" s="757"/>
      <c r="AK709" s="737"/>
      <c r="AL709" s="738"/>
      <c r="AM709" s="738"/>
      <c r="AN709" s="739"/>
      <c r="AO709" s="740">
        <f t="shared" si="10"/>
        <v>0</v>
      </c>
      <c r="AP709" s="741"/>
      <c r="AQ709" s="741"/>
      <c r="AR709" s="742"/>
    </row>
    <row r="710" spans="1:44" ht="18" customHeight="1">
      <c r="C710" s="758"/>
      <c r="D710" s="759"/>
      <c r="E710" s="760"/>
      <c r="F710" s="761"/>
      <c r="G710" s="762"/>
      <c r="H710" s="762"/>
      <c r="I710" s="762"/>
      <c r="J710" s="762"/>
      <c r="K710" s="762"/>
      <c r="L710" s="762"/>
      <c r="M710" s="762"/>
      <c r="N710" s="762"/>
      <c r="O710" s="762"/>
      <c r="P710" s="762"/>
      <c r="Q710" s="762"/>
      <c r="R710" s="763"/>
      <c r="S710" s="764"/>
      <c r="T710" s="765"/>
      <c r="U710" s="766"/>
      <c r="V710" s="764"/>
      <c r="W710" s="765"/>
      <c r="X710" s="766"/>
      <c r="Y710" s="767"/>
      <c r="Z710" s="768"/>
      <c r="AA710" s="768"/>
      <c r="AB710" s="768"/>
      <c r="AC710" s="768"/>
      <c r="AD710" s="769"/>
      <c r="AE710" s="740"/>
      <c r="AF710" s="741"/>
      <c r="AG710" s="757"/>
      <c r="AH710" s="740"/>
      <c r="AI710" s="741"/>
      <c r="AJ710" s="757"/>
      <c r="AK710" s="737"/>
      <c r="AL710" s="738"/>
      <c r="AM710" s="738"/>
      <c r="AN710" s="739"/>
      <c r="AO710" s="740">
        <f t="shared" si="10"/>
        <v>0</v>
      </c>
      <c r="AP710" s="741"/>
      <c r="AQ710" s="741"/>
      <c r="AR710" s="742"/>
    </row>
    <row r="711" spans="1:44" ht="18" customHeight="1">
      <c r="C711" s="758"/>
      <c r="D711" s="759"/>
      <c r="E711" s="760"/>
      <c r="F711" s="761"/>
      <c r="G711" s="762"/>
      <c r="H711" s="762"/>
      <c r="I711" s="762"/>
      <c r="J711" s="762"/>
      <c r="K711" s="762"/>
      <c r="L711" s="762"/>
      <c r="M711" s="762"/>
      <c r="N711" s="762"/>
      <c r="O711" s="762"/>
      <c r="P711" s="762"/>
      <c r="Q711" s="762"/>
      <c r="R711" s="763"/>
      <c r="S711" s="764"/>
      <c r="T711" s="765"/>
      <c r="U711" s="766"/>
      <c r="V711" s="764"/>
      <c r="W711" s="765"/>
      <c r="X711" s="766"/>
      <c r="Y711" s="767"/>
      <c r="Z711" s="768"/>
      <c r="AA711" s="768"/>
      <c r="AB711" s="768"/>
      <c r="AC711" s="768"/>
      <c r="AD711" s="769"/>
      <c r="AE711" s="740"/>
      <c r="AF711" s="741"/>
      <c r="AG711" s="757"/>
      <c r="AH711" s="740"/>
      <c r="AI711" s="741"/>
      <c r="AJ711" s="757"/>
      <c r="AK711" s="737"/>
      <c r="AL711" s="738"/>
      <c r="AM711" s="738"/>
      <c r="AN711" s="739"/>
      <c r="AO711" s="740">
        <f t="shared" si="10"/>
        <v>0</v>
      </c>
      <c r="AP711" s="741"/>
      <c r="AQ711" s="741"/>
      <c r="AR711" s="742"/>
    </row>
    <row r="712" spans="1:44" ht="18" customHeight="1">
      <c r="C712" s="758"/>
      <c r="D712" s="759"/>
      <c r="E712" s="760"/>
      <c r="F712" s="761"/>
      <c r="G712" s="762"/>
      <c r="H712" s="762"/>
      <c r="I712" s="762"/>
      <c r="J712" s="762"/>
      <c r="K712" s="762"/>
      <c r="L712" s="762"/>
      <c r="M712" s="762"/>
      <c r="N712" s="762"/>
      <c r="O712" s="762"/>
      <c r="P712" s="762"/>
      <c r="Q712" s="762"/>
      <c r="R712" s="763"/>
      <c r="S712" s="764"/>
      <c r="T712" s="765"/>
      <c r="U712" s="766"/>
      <c r="V712" s="764"/>
      <c r="W712" s="765"/>
      <c r="X712" s="766"/>
      <c r="Y712" s="767"/>
      <c r="Z712" s="768"/>
      <c r="AA712" s="768"/>
      <c r="AB712" s="768"/>
      <c r="AC712" s="768"/>
      <c r="AD712" s="769"/>
      <c r="AE712" s="740"/>
      <c r="AF712" s="741"/>
      <c r="AG712" s="757"/>
      <c r="AH712" s="740"/>
      <c r="AI712" s="741"/>
      <c r="AJ712" s="757"/>
      <c r="AK712" s="737"/>
      <c r="AL712" s="738"/>
      <c r="AM712" s="738"/>
      <c r="AN712" s="739"/>
      <c r="AO712" s="740">
        <f t="shared" si="10"/>
        <v>0</v>
      </c>
      <c r="AP712" s="741"/>
      <c r="AQ712" s="741"/>
      <c r="AR712" s="742"/>
    </row>
    <row r="713" spans="1:44" ht="18" customHeight="1">
      <c r="C713" s="758"/>
      <c r="D713" s="759"/>
      <c r="E713" s="760"/>
      <c r="F713" s="761"/>
      <c r="G713" s="762"/>
      <c r="H713" s="762"/>
      <c r="I713" s="762"/>
      <c r="J713" s="762"/>
      <c r="K713" s="762"/>
      <c r="L713" s="762"/>
      <c r="M713" s="762"/>
      <c r="N713" s="762"/>
      <c r="O713" s="762"/>
      <c r="P713" s="762"/>
      <c r="Q713" s="762"/>
      <c r="R713" s="763"/>
      <c r="S713" s="764"/>
      <c r="T713" s="765"/>
      <c r="U713" s="766"/>
      <c r="V713" s="764"/>
      <c r="W713" s="765"/>
      <c r="X713" s="766"/>
      <c r="Y713" s="767"/>
      <c r="Z713" s="768"/>
      <c r="AA713" s="768"/>
      <c r="AB713" s="768"/>
      <c r="AC713" s="768"/>
      <c r="AD713" s="769"/>
      <c r="AE713" s="740"/>
      <c r="AF713" s="741"/>
      <c r="AG713" s="757"/>
      <c r="AH713" s="740"/>
      <c r="AI713" s="741"/>
      <c r="AJ713" s="757"/>
      <c r="AK713" s="737"/>
      <c r="AL713" s="738"/>
      <c r="AM713" s="738"/>
      <c r="AN713" s="739"/>
      <c r="AO713" s="740">
        <f t="shared" si="10"/>
        <v>0</v>
      </c>
      <c r="AP713" s="741"/>
      <c r="AQ713" s="741"/>
      <c r="AR713" s="742"/>
    </row>
    <row r="714" spans="1:44" ht="18" customHeight="1">
      <c r="C714" s="743"/>
      <c r="D714" s="744"/>
      <c r="E714" s="744"/>
      <c r="F714" s="744"/>
      <c r="G714" s="744"/>
      <c r="H714" s="744"/>
      <c r="I714" s="744"/>
      <c r="J714" s="744"/>
      <c r="K714" s="744"/>
      <c r="L714" s="744"/>
      <c r="M714" s="744"/>
      <c r="N714" s="744"/>
      <c r="O714" s="744"/>
      <c r="P714" s="744"/>
      <c r="Q714" s="744"/>
      <c r="R714" s="744"/>
      <c r="S714" s="744"/>
      <c r="T714" s="744"/>
      <c r="U714" s="744"/>
      <c r="V714" s="744"/>
      <c r="W714" s="744"/>
      <c r="X714" s="744"/>
      <c r="Y714" s="745" t="s">
        <v>95</v>
      </c>
      <c r="Z714" s="745"/>
      <c r="AA714" s="745"/>
      <c r="AB714" s="745"/>
      <c r="AC714" s="745"/>
      <c r="AD714" s="745"/>
      <c r="AE714" s="745"/>
      <c r="AF714" s="745"/>
      <c r="AG714" s="745"/>
      <c r="AH714" s="745"/>
      <c r="AI714" s="745"/>
      <c r="AJ714" s="745"/>
      <c r="AK714" s="745"/>
      <c r="AL714" s="745"/>
      <c r="AM714" s="745"/>
      <c r="AN714" s="430"/>
      <c r="AO714" s="477">
        <f>SUM(AO706:AR713)</f>
        <v>0</v>
      </c>
      <c r="AP714" s="746"/>
      <c r="AQ714" s="746"/>
      <c r="AR714" s="747"/>
    </row>
    <row r="716" spans="1:44" ht="18" customHeight="1">
      <c r="C716" s="434"/>
      <c r="D716" s="434"/>
      <c r="E716" s="434"/>
      <c r="F716" s="434"/>
      <c r="G716" s="434"/>
      <c r="H716" s="434"/>
      <c r="I716" s="434"/>
      <c r="J716" s="434"/>
      <c r="K716" s="434"/>
      <c r="L716" s="434"/>
      <c r="M716" s="434"/>
      <c r="N716" s="434"/>
      <c r="O716" s="434"/>
      <c r="P716" s="434"/>
      <c r="Q716" s="434"/>
      <c r="R716" s="434"/>
      <c r="S716" s="434"/>
      <c r="T716" s="434"/>
      <c r="U716" s="434"/>
      <c r="V716" s="434"/>
      <c r="W716" s="434"/>
      <c r="X716" s="748"/>
      <c r="Y716" s="749" t="s">
        <v>96</v>
      </c>
      <c r="Z716" s="750"/>
      <c r="AA716" s="750"/>
      <c r="AB716" s="750"/>
      <c r="AC716" s="750"/>
      <c r="AD716" s="750"/>
      <c r="AE716" s="750"/>
      <c r="AF716" s="750"/>
      <c r="AG716" s="750"/>
      <c r="AH716" s="750"/>
      <c r="AI716" s="750"/>
      <c r="AJ716" s="750"/>
      <c r="AK716" s="750"/>
      <c r="AL716" s="750"/>
      <c r="AM716" s="750"/>
      <c r="AN716" s="751"/>
      <c r="AO716" s="752">
        <f>AO690+AO702+AO714</f>
        <v>5665.32</v>
      </c>
      <c r="AP716" s="753"/>
      <c r="AQ716" s="753"/>
      <c r="AR716" s="754"/>
    </row>
    <row r="717" spans="1:44" ht="18" customHeight="1">
      <c r="C717" s="434"/>
      <c r="D717" s="434"/>
      <c r="E717" s="434"/>
      <c r="F717" s="434"/>
      <c r="G717" s="434"/>
      <c r="H717" s="434"/>
      <c r="I717" s="434"/>
      <c r="J717" s="434"/>
      <c r="K717" s="434"/>
      <c r="L717" s="434"/>
      <c r="M717" s="434"/>
      <c r="N717" s="434"/>
      <c r="O717" s="434"/>
      <c r="P717" s="434"/>
      <c r="Q717" s="434"/>
      <c r="R717" s="434"/>
      <c r="S717" s="434"/>
      <c r="T717" s="434"/>
      <c r="U717" s="434"/>
      <c r="V717" s="434"/>
      <c r="W717" s="434"/>
      <c r="X717" s="748"/>
      <c r="Y717" s="755" t="s">
        <v>97</v>
      </c>
      <c r="Z717" s="756"/>
      <c r="AA717" s="756"/>
      <c r="AB717" s="756"/>
      <c r="AC717" s="756"/>
      <c r="AD717" s="756"/>
      <c r="AE717" s="756"/>
      <c r="AF717" s="756"/>
      <c r="AG717" s="756"/>
      <c r="AH717" s="442">
        <v>0.2031</v>
      </c>
      <c r="AI717" s="442"/>
      <c r="AJ717" s="442"/>
      <c r="AK717" s="442"/>
      <c r="AL717" s="442"/>
      <c r="AM717" s="442"/>
      <c r="AN717" s="443"/>
      <c r="AO717" s="728">
        <f>ROUND(AO716*AH717,2)</f>
        <v>1150.6300000000001</v>
      </c>
      <c r="AP717" s="729"/>
      <c r="AQ717" s="729"/>
      <c r="AR717" s="730"/>
    </row>
    <row r="718" spans="1:44" ht="18" customHeight="1">
      <c r="A718" s="415" t="s">
        <v>446</v>
      </c>
      <c r="B718" s="415"/>
      <c r="C718" s="434"/>
      <c r="D718" s="434"/>
      <c r="E718" s="434"/>
      <c r="F718" s="434"/>
      <c r="G718" s="434"/>
      <c r="H718" s="434"/>
      <c r="I718" s="434"/>
      <c r="J718" s="434"/>
      <c r="K718" s="434"/>
      <c r="L718" s="434"/>
      <c r="M718" s="434"/>
      <c r="N718" s="434"/>
      <c r="O718" s="434"/>
      <c r="P718" s="434"/>
      <c r="Q718" s="434"/>
      <c r="R718" s="434"/>
      <c r="S718" s="434"/>
      <c r="T718" s="434"/>
      <c r="U718" s="434"/>
      <c r="V718" s="434"/>
      <c r="W718" s="434"/>
      <c r="X718" s="748"/>
      <c r="Y718" s="731" t="s">
        <v>98</v>
      </c>
      <c r="Z718" s="732"/>
      <c r="AA718" s="732"/>
      <c r="AB718" s="732"/>
      <c r="AC718" s="732"/>
      <c r="AD718" s="732"/>
      <c r="AE718" s="732"/>
      <c r="AF718" s="732"/>
      <c r="AG718" s="732"/>
      <c r="AH718" s="732"/>
      <c r="AI718" s="732"/>
      <c r="AJ718" s="732"/>
      <c r="AK718" s="732"/>
      <c r="AL718" s="732"/>
      <c r="AM718" s="732"/>
      <c r="AN718" s="733"/>
      <c r="AO718" s="734">
        <f>SUM(AO716:AR717)</f>
        <v>6815.95</v>
      </c>
      <c r="AP718" s="735"/>
      <c r="AQ718" s="735"/>
      <c r="AR718" s="736"/>
    </row>
    <row r="720" spans="1:44" ht="18" customHeight="1">
      <c r="C720" s="420" t="s">
        <v>99</v>
      </c>
      <c r="D720" s="421"/>
      <c r="E720" s="421"/>
      <c r="F720" s="421"/>
      <c r="G720" s="421"/>
      <c r="H720" s="421"/>
      <c r="I720" s="422"/>
      <c r="J720" s="422"/>
      <c r="K720" s="422"/>
      <c r="L720" s="422"/>
      <c r="M720" s="422"/>
      <c r="N720" s="422"/>
      <c r="O720" s="422"/>
      <c r="P720" s="422"/>
      <c r="Q720" s="422"/>
      <c r="R720" s="422"/>
      <c r="S720" s="422"/>
      <c r="T720" s="422"/>
      <c r="U720" s="422"/>
      <c r="V720" s="422"/>
      <c r="W720" s="422"/>
      <c r="X720" s="422"/>
      <c r="Y720" s="422"/>
      <c r="Z720" s="422"/>
      <c r="AA720" s="422"/>
      <c r="AB720" s="422"/>
      <c r="AC720" s="422"/>
      <c r="AD720" s="422"/>
      <c r="AE720" s="422"/>
      <c r="AF720" s="422"/>
      <c r="AG720" s="422"/>
      <c r="AH720" s="422"/>
      <c r="AI720" s="422"/>
      <c r="AJ720" s="422"/>
      <c r="AK720" s="422"/>
      <c r="AL720" s="422"/>
      <c r="AM720" s="422"/>
      <c r="AN720" s="422"/>
      <c r="AO720" s="422"/>
      <c r="AP720" s="422"/>
      <c r="AQ720" s="422"/>
      <c r="AR720" s="423"/>
    </row>
    <row r="721" spans="3:44" ht="18" customHeight="1">
      <c r="C721" s="411"/>
      <c r="D721" s="412"/>
      <c r="E721" s="412"/>
      <c r="F721" s="412"/>
      <c r="G721" s="412"/>
      <c r="H721" s="412"/>
      <c r="I721" s="409"/>
      <c r="J721" s="409"/>
      <c r="K721" s="409"/>
      <c r="L721" s="409"/>
      <c r="M721" s="409"/>
      <c r="N721" s="409"/>
      <c r="O721" s="409"/>
      <c r="P721" s="409"/>
      <c r="Q721" s="409"/>
      <c r="R721" s="409"/>
      <c r="S721" s="409"/>
      <c r="T721" s="409"/>
      <c r="U721" s="409"/>
      <c r="V721" s="409"/>
      <c r="W721" s="409"/>
      <c r="X721" s="409"/>
      <c r="Y721" s="409"/>
      <c r="Z721" s="409"/>
      <c r="AA721" s="409"/>
      <c r="AB721" s="409"/>
      <c r="AC721" s="409"/>
      <c r="AD721" s="409"/>
      <c r="AE721" s="409"/>
      <c r="AF721" s="409"/>
      <c r="AG721" s="409"/>
      <c r="AH721" s="409"/>
      <c r="AI721" s="409"/>
      <c r="AJ721" s="409"/>
      <c r="AK721" s="409"/>
      <c r="AL721" s="409"/>
      <c r="AM721" s="409"/>
      <c r="AN721" s="409"/>
      <c r="AO721" s="409"/>
      <c r="AP721" s="409"/>
      <c r="AQ721" s="409"/>
      <c r="AR721" s="410"/>
    </row>
    <row r="722" spans="3:44" ht="18" customHeight="1">
      <c r="C722" s="411"/>
      <c r="D722" s="412"/>
      <c r="E722" s="412"/>
      <c r="F722" s="412"/>
      <c r="G722" s="412"/>
      <c r="H722" s="412"/>
      <c r="I722" s="409"/>
      <c r="J722" s="409"/>
      <c r="K722" s="409"/>
      <c r="L722" s="409"/>
      <c r="M722" s="409"/>
      <c r="N722" s="409"/>
      <c r="O722" s="409"/>
      <c r="P722" s="409"/>
      <c r="Q722" s="409"/>
      <c r="R722" s="409"/>
      <c r="S722" s="409"/>
      <c r="T722" s="409"/>
      <c r="U722" s="409"/>
      <c r="V722" s="409"/>
      <c r="W722" s="409"/>
      <c r="X722" s="409"/>
      <c r="Y722" s="409"/>
      <c r="Z722" s="409"/>
      <c r="AA722" s="409"/>
      <c r="AB722" s="409"/>
      <c r="AC722" s="409"/>
      <c r="AD722" s="409"/>
      <c r="AE722" s="409"/>
      <c r="AF722" s="409"/>
      <c r="AG722" s="409"/>
      <c r="AH722" s="409"/>
      <c r="AI722" s="409"/>
      <c r="AJ722" s="409"/>
      <c r="AK722" s="409"/>
      <c r="AL722" s="409"/>
      <c r="AM722" s="409"/>
      <c r="AN722" s="409"/>
      <c r="AO722" s="409"/>
      <c r="AP722" s="409"/>
      <c r="AQ722" s="409"/>
      <c r="AR722" s="410"/>
    </row>
    <row r="723" spans="3:44" ht="18" customHeight="1">
      <c r="C723" s="411"/>
      <c r="D723" s="412"/>
      <c r="E723" s="412"/>
      <c r="F723" s="412"/>
      <c r="G723" s="412"/>
      <c r="H723" s="412"/>
      <c r="I723" s="409"/>
      <c r="J723" s="409"/>
      <c r="K723" s="409"/>
      <c r="L723" s="409"/>
      <c r="M723" s="409"/>
      <c r="N723" s="409"/>
      <c r="O723" s="409"/>
      <c r="P723" s="409"/>
      <c r="Q723" s="409"/>
      <c r="R723" s="409"/>
      <c r="S723" s="409"/>
      <c r="T723" s="409"/>
      <c r="U723" s="409"/>
      <c r="V723" s="409"/>
      <c r="W723" s="409"/>
      <c r="X723" s="409"/>
      <c r="Y723" s="409"/>
      <c r="Z723" s="409"/>
      <c r="AA723" s="409"/>
      <c r="AB723" s="409"/>
      <c r="AC723" s="409"/>
      <c r="AD723" s="409"/>
      <c r="AE723" s="409"/>
      <c r="AF723" s="409"/>
      <c r="AG723" s="409"/>
      <c r="AH723" s="409"/>
      <c r="AI723" s="409"/>
      <c r="AJ723" s="409"/>
      <c r="AK723" s="409"/>
      <c r="AL723" s="409"/>
      <c r="AM723" s="409"/>
      <c r="AN723" s="409"/>
      <c r="AO723" s="409"/>
      <c r="AP723" s="409"/>
      <c r="AQ723" s="409"/>
      <c r="AR723" s="410"/>
    </row>
    <row r="724" spans="3:44" ht="18" customHeight="1">
      <c r="C724" s="411"/>
      <c r="D724" s="412"/>
      <c r="E724" s="412"/>
      <c r="F724" s="412"/>
      <c r="G724" s="412"/>
      <c r="H724" s="412"/>
      <c r="I724" s="409"/>
      <c r="J724" s="409"/>
      <c r="K724" s="409"/>
      <c r="L724" s="409"/>
      <c r="M724" s="409"/>
      <c r="N724" s="409"/>
      <c r="O724" s="409"/>
      <c r="P724" s="409"/>
      <c r="Q724" s="409"/>
      <c r="R724" s="409"/>
      <c r="S724" s="409"/>
      <c r="T724" s="409"/>
      <c r="U724" s="409"/>
      <c r="V724" s="409"/>
      <c r="W724" s="409"/>
      <c r="X724" s="409"/>
      <c r="Y724" s="409"/>
      <c r="Z724" s="409"/>
      <c r="AA724" s="409"/>
      <c r="AB724" s="409"/>
      <c r="AC724" s="409"/>
      <c r="AD724" s="409"/>
      <c r="AE724" s="409"/>
      <c r="AF724" s="409"/>
      <c r="AG724" s="409"/>
      <c r="AH724" s="409"/>
      <c r="AI724" s="409"/>
      <c r="AJ724" s="409"/>
      <c r="AK724" s="409"/>
      <c r="AL724" s="409"/>
      <c r="AM724" s="409"/>
      <c r="AN724" s="409"/>
      <c r="AO724" s="409"/>
      <c r="AP724" s="409"/>
      <c r="AQ724" s="409"/>
      <c r="AR724" s="410"/>
    </row>
    <row r="725" spans="3:44" ht="18" customHeight="1">
      <c r="C725" s="385"/>
      <c r="D725" s="386"/>
      <c r="E725" s="386"/>
      <c r="F725" s="386"/>
      <c r="G725" s="386"/>
      <c r="H725" s="386"/>
      <c r="I725" s="387"/>
      <c r="J725" s="387"/>
      <c r="K725" s="387"/>
      <c r="L725" s="387"/>
      <c r="M725" s="387"/>
      <c r="N725" s="387"/>
      <c r="O725" s="387"/>
      <c r="P725" s="387"/>
      <c r="Q725" s="387"/>
      <c r="R725" s="387"/>
      <c r="S725" s="387"/>
      <c r="T725" s="387"/>
      <c r="U725" s="387"/>
      <c r="V725" s="387"/>
      <c r="W725" s="387"/>
      <c r="X725" s="387"/>
      <c r="Y725" s="387"/>
      <c r="Z725" s="387"/>
      <c r="AA725" s="387"/>
      <c r="AB725" s="387"/>
      <c r="AC725" s="387"/>
      <c r="AD725" s="387"/>
      <c r="AE725" s="387"/>
      <c r="AF725" s="387"/>
      <c r="AG725" s="387"/>
      <c r="AH725" s="387"/>
      <c r="AI725" s="387"/>
      <c r="AJ725" s="387"/>
      <c r="AK725" s="387"/>
      <c r="AL725" s="387"/>
      <c r="AM725" s="387"/>
      <c r="AN725" s="387"/>
      <c r="AO725" s="387"/>
      <c r="AP725" s="387"/>
      <c r="AQ725" s="387"/>
      <c r="AR725" s="388"/>
    </row>
    <row r="727" spans="3:44" ht="18" customHeight="1">
      <c r="C727" s="389" t="s">
        <v>100</v>
      </c>
      <c r="D727" s="390"/>
      <c r="E727" s="390"/>
      <c r="F727" s="390"/>
      <c r="G727" s="390"/>
      <c r="H727" s="390"/>
      <c r="I727" s="390"/>
      <c r="J727" s="390"/>
      <c r="K727" s="390"/>
      <c r="L727" s="390"/>
      <c r="M727" s="390"/>
      <c r="N727" s="390"/>
      <c r="O727" s="390"/>
      <c r="P727" s="390"/>
      <c r="Q727" s="390"/>
      <c r="R727" s="390"/>
      <c r="S727" s="390"/>
      <c r="T727" s="390"/>
      <c r="U727" s="390"/>
      <c r="V727" s="390"/>
      <c r="W727" s="390"/>
      <c r="X727" s="390"/>
      <c r="Y727" s="390"/>
      <c r="Z727" s="390"/>
      <c r="AA727" s="391"/>
      <c r="AB727" s="392" t="str">
        <f>[4]C.UNIT.SERV.!$E$5</f>
        <v>DATA-BASE:      MAIO/2011/PR</v>
      </c>
      <c r="AC727" s="393"/>
      <c r="AD727" s="393"/>
      <c r="AE727" s="393"/>
      <c r="AF727" s="393"/>
      <c r="AG727" s="393"/>
      <c r="AH727" s="393"/>
      <c r="AI727" s="394"/>
      <c r="AJ727" s="392"/>
      <c r="AK727" s="393"/>
      <c r="AL727" s="393"/>
      <c r="AM727" s="393"/>
      <c r="AN727" s="393"/>
      <c r="AO727" s="393"/>
      <c r="AP727" s="393"/>
      <c r="AQ727" s="393"/>
      <c r="AR727" s="401"/>
    </row>
    <row r="728" spans="3:44" ht="18" customHeight="1">
      <c r="C728" s="404" t="s">
        <v>101</v>
      </c>
      <c r="D728" s="405"/>
      <c r="E728" s="405"/>
      <c r="F728" s="405"/>
      <c r="G728" s="405" t="s">
        <v>283</v>
      </c>
      <c r="H728" s="405"/>
      <c r="I728" s="405"/>
      <c r="J728" s="405"/>
      <c r="K728" s="405"/>
      <c r="L728" s="405"/>
      <c r="M728" s="405"/>
      <c r="N728" s="405"/>
      <c r="O728" s="405"/>
      <c r="P728" s="405"/>
      <c r="Q728" s="405"/>
      <c r="R728" s="405"/>
      <c r="S728" s="405"/>
      <c r="T728" s="405"/>
      <c r="U728" s="405"/>
      <c r="V728" s="405"/>
      <c r="W728" s="405"/>
      <c r="X728" s="405"/>
      <c r="Y728" s="405"/>
      <c r="Z728" s="405"/>
      <c r="AA728" s="406"/>
      <c r="AB728" s="395"/>
      <c r="AC728" s="396"/>
      <c r="AD728" s="396"/>
      <c r="AE728" s="396"/>
      <c r="AF728" s="396"/>
      <c r="AG728" s="396"/>
      <c r="AH728" s="396"/>
      <c r="AI728" s="397"/>
      <c r="AJ728" s="395"/>
      <c r="AK728" s="396"/>
      <c r="AL728" s="396"/>
      <c r="AM728" s="396"/>
      <c r="AN728" s="396"/>
      <c r="AO728" s="396"/>
      <c r="AP728" s="396"/>
      <c r="AQ728" s="396"/>
      <c r="AR728" s="402"/>
    </row>
    <row r="729" spans="3:44" ht="18" customHeight="1">
      <c r="C729" s="404" t="s">
        <v>102</v>
      </c>
      <c r="D729" s="405"/>
      <c r="E729" s="405"/>
      <c r="F729" s="405"/>
      <c r="G729" s="405"/>
      <c r="H729" s="405"/>
      <c r="I729" s="405"/>
      <c r="J729" s="405"/>
      <c r="K729" s="405"/>
      <c r="L729" s="405"/>
      <c r="M729" s="405"/>
      <c r="N729" s="405"/>
      <c r="O729" s="405"/>
      <c r="P729" s="405"/>
      <c r="Q729" s="405"/>
      <c r="R729" s="405"/>
      <c r="S729" s="405"/>
      <c r="T729" s="405"/>
      <c r="U729" s="405"/>
      <c r="V729" s="405"/>
      <c r="W729" s="405"/>
      <c r="X729" s="405"/>
      <c r="Y729" s="405"/>
      <c r="Z729" s="405"/>
      <c r="AA729" s="406"/>
      <c r="AB729" s="395"/>
      <c r="AC729" s="396"/>
      <c r="AD729" s="396"/>
      <c r="AE729" s="396"/>
      <c r="AF729" s="396"/>
      <c r="AG729" s="396"/>
      <c r="AH729" s="396"/>
      <c r="AI729" s="397"/>
      <c r="AJ729" s="395"/>
      <c r="AK729" s="396"/>
      <c r="AL729" s="396"/>
      <c r="AM729" s="396"/>
      <c r="AN729" s="396"/>
      <c r="AO729" s="396"/>
      <c r="AP729" s="396"/>
      <c r="AQ729" s="396"/>
      <c r="AR729" s="402"/>
    </row>
    <row r="730" spans="3:44" ht="18" customHeight="1">
      <c r="C730" s="407"/>
      <c r="D730" s="408"/>
      <c r="E730" s="408"/>
      <c r="F730" s="408"/>
      <c r="G730" s="408"/>
      <c r="H730" s="408"/>
      <c r="I730" s="408"/>
      <c r="J730" s="408"/>
      <c r="K730" s="408"/>
      <c r="L730" s="408"/>
      <c r="M730" s="408"/>
      <c r="N730" s="408"/>
      <c r="O730" s="408"/>
      <c r="P730" s="408"/>
      <c r="Q730" s="408"/>
      <c r="R730" s="408"/>
      <c r="S730" s="408"/>
      <c r="T730" s="408"/>
      <c r="U730" s="408"/>
      <c r="V730" s="408"/>
      <c r="W730" s="408"/>
      <c r="X730" s="408"/>
      <c r="Y730" s="408"/>
      <c r="Z730" s="408"/>
      <c r="AA730" s="408"/>
      <c r="AB730" s="398"/>
      <c r="AC730" s="399"/>
      <c r="AD730" s="399"/>
      <c r="AE730" s="399"/>
      <c r="AF730" s="399"/>
      <c r="AG730" s="399"/>
      <c r="AH730" s="399"/>
      <c r="AI730" s="400"/>
      <c r="AJ730" s="398"/>
      <c r="AK730" s="399"/>
      <c r="AL730" s="399"/>
      <c r="AM730" s="399"/>
      <c r="AN730" s="399"/>
      <c r="AO730" s="399"/>
      <c r="AP730" s="399"/>
      <c r="AQ730" s="399"/>
      <c r="AR730" s="403"/>
    </row>
    <row r="732" spans="3:44" ht="18" customHeight="1">
      <c r="C732" s="850" t="s">
        <v>64</v>
      </c>
      <c r="D732" s="851"/>
      <c r="E732" s="851"/>
      <c r="F732" s="851"/>
      <c r="G732" s="851"/>
      <c r="H732" s="851"/>
      <c r="I732" s="851"/>
      <c r="J732" s="851"/>
      <c r="K732" s="851"/>
      <c r="L732" s="851"/>
      <c r="M732" s="851"/>
      <c r="N732" s="851"/>
      <c r="O732" s="851"/>
      <c r="P732" s="851"/>
      <c r="Q732" s="851"/>
      <c r="R732" s="851"/>
      <c r="S732" s="851"/>
      <c r="T732" s="851"/>
      <c r="U732" s="851"/>
      <c r="V732" s="851"/>
      <c r="W732" s="851"/>
      <c r="X732" s="851"/>
      <c r="Y732" s="851"/>
      <c r="Z732" s="851"/>
      <c r="AA732" s="851"/>
      <c r="AB732" s="851"/>
      <c r="AC732" s="851"/>
      <c r="AD732" s="851"/>
      <c r="AE732" s="851"/>
      <c r="AF732" s="851"/>
      <c r="AG732" s="851"/>
      <c r="AH732" s="851"/>
      <c r="AI732" s="851"/>
      <c r="AJ732" s="851"/>
      <c r="AK732" s="851"/>
      <c r="AL732" s="851"/>
      <c r="AM732" s="851"/>
      <c r="AN732" s="851"/>
      <c r="AO732" s="851"/>
      <c r="AP732" s="851"/>
      <c r="AQ732" s="851"/>
      <c r="AR732" s="852"/>
    </row>
    <row r="733" spans="3:44" ht="18" customHeight="1">
      <c r="C733" s="853"/>
      <c r="D733" s="854"/>
      <c r="E733" s="854"/>
      <c r="F733" s="854"/>
      <c r="G733" s="854"/>
      <c r="H733" s="854"/>
      <c r="I733" s="854"/>
      <c r="J733" s="854"/>
      <c r="K733" s="854"/>
      <c r="L733" s="854"/>
      <c r="M733" s="854"/>
      <c r="N733" s="854"/>
      <c r="O733" s="854"/>
      <c r="P733" s="854"/>
      <c r="Q733" s="854"/>
      <c r="R733" s="854"/>
      <c r="S733" s="854"/>
      <c r="T733" s="854"/>
      <c r="U733" s="854"/>
      <c r="V733" s="854"/>
      <c r="W733" s="854"/>
      <c r="X733" s="854"/>
      <c r="Y733" s="854"/>
      <c r="Z733" s="854"/>
      <c r="AA733" s="854"/>
      <c r="AB733" s="854"/>
      <c r="AC733" s="854"/>
      <c r="AD733" s="854"/>
      <c r="AE733" s="854"/>
      <c r="AF733" s="854"/>
      <c r="AG733" s="854"/>
      <c r="AH733" s="854"/>
      <c r="AI733" s="854"/>
      <c r="AJ733" s="854"/>
      <c r="AK733" s="854"/>
      <c r="AL733" s="854"/>
      <c r="AM733" s="854"/>
      <c r="AN733" s="854"/>
      <c r="AO733" s="854"/>
      <c r="AP733" s="854"/>
      <c r="AQ733" s="854"/>
      <c r="AR733" s="855"/>
    </row>
    <row r="734" spans="3:44" ht="18" customHeight="1">
      <c r="C734" s="856" t="s">
        <v>65</v>
      </c>
      <c r="D734" s="857"/>
      <c r="E734" s="857"/>
      <c r="F734" s="857"/>
      <c r="G734" s="860" t="s">
        <v>439</v>
      </c>
      <c r="H734" s="860"/>
      <c r="I734" s="860"/>
      <c r="J734" s="861"/>
      <c r="K734" s="864" t="s">
        <v>66</v>
      </c>
      <c r="L734" s="865"/>
      <c r="M734" s="865"/>
      <c r="N734" s="865"/>
      <c r="O734" s="526" t="s">
        <v>618</v>
      </c>
      <c r="P734" s="526"/>
      <c r="Q734" s="526"/>
      <c r="R734" s="526"/>
      <c r="S734" s="526"/>
      <c r="T734" s="526"/>
      <c r="U734" s="526"/>
      <c r="V734" s="526"/>
      <c r="W734" s="526"/>
      <c r="X734" s="526"/>
      <c r="Y734" s="526"/>
      <c r="Z734" s="526"/>
      <c r="AA734" s="526"/>
      <c r="AB734" s="526"/>
      <c r="AC734" s="526"/>
      <c r="AD734" s="526"/>
      <c r="AE734" s="526"/>
      <c r="AF734" s="526"/>
      <c r="AG734" s="526"/>
      <c r="AH734" s="526"/>
      <c r="AI734" s="526"/>
      <c r="AJ734" s="526"/>
      <c r="AK734" s="527"/>
      <c r="AL734" s="864" t="s">
        <v>67</v>
      </c>
      <c r="AM734" s="865"/>
      <c r="AN734" s="865"/>
      <c r="AO734" s="865"/>
      <c r="AP734" s="843" t="s">
        <v>194</v>
      </c>
      <c r="AQ734" s="843"/>
      <c r="AR734" s="844"/>
    </row>
    <row r="735" spans="3:44" ht="18" customHeight="1">
      <c r="C735" s="858"/>
      <c r="D735" s="859"/>
      <c r="E735" s="859"/>
      <c r="F735" s="859"/>
      <c r="G735" s="862"/>
      <c r="H735" s="862"/>
      <c r="I735" s="862"/>
      <c r="J735" s="863"/>
      <c r="K735" s="866"/>
      <c r="L735" s="867"/>
      <c r="M735" s="867"/>
      <c r="N735" s="867"/>
      <c r="O735" s="528"/>
      <c r="P735" s="528"/>
      <c r="Q735" s="528"/>
      <c r="R735" s="528"/>
      <c r="S735" s="528"/>
      <c r="T735" s="528"/>
      <c r="U735" s="528"/>
      <c r="V735" s="528"/>
      <c r="W735" s="528"/>
      <c r="X735" s="528"/>
      <c r="Y735" s="528"/>
      <c r="Z735" s="528"/>
      <c r="AA735" s="528"/>
      <c r="AB735" s="528"/>
      <c r="AC735" s="528"/>
      <c r="AD735" s="528"/>
      <c r="AE735" s="528"/>
      <c r="AF735" s="528"/>
      <c r="AG735" s="528"/>
      <c r="AH735" s="528"/>
      <c r="AI735" s="528"/>
      <c r="AJ735" s="528"/>
      <c r="AK735" s="529"/>
      <c r="AL735" s="866"/>
      <c r="AM735" s="867"/>
      <c r="AN735" s="867"/>
      <c r="AO735" s="867"/>
      <c r="AP735" s="845"/>
      <c r="AQ735" s="845"/>
      <c r="AR735" s="846"/>
    </row>
    <row r="737" spans="3:44" ht="18" customHeight="1">
      <c r="C737" s="794" t="s">
        <v>43</v>
      </c>
      <c r="D737" s="774"/>
      <c r="E737" s="775"/>
      <c r="F737" s="773" t="s">
        <v>68</v>
      </c>
      <c r="G737" s="774"/>
      <c r="H737" s="774"/>
      <c r="I737" s="774"/>
      <c r="J737" s="774"/>
      <c r="K737" s="774"/>
      <c r="L737" s="774"/>
      <c r="M737" s="774"/>
      <c r="N737" s="774"/>
      <c r="O737" s="774"/>
      <c r="P737" s="774"/>
      <c r="Q737" s="774"/>
      <c r="R737" s="774"/>
      <c r="S737" s="774"/>
      <c r="T737" s="774"/>
      <c r="U737" s="775"/>
      <c r="V737" s="773" t="s">
        <v>249</v>
      </c>
      <c r="W737" s="774"/>
      <c r="X737" s="775"/>
      <c r="Y737" s="847" t="s">
        <v>69</v>
      </c>
      <c r="Z737" s="848"/>
      <c r="AA737" s="848"/>
      <c r="AB737" s="848"/>
      <c r="AC737" s="848"/>
      <c r="AD737" s="848"/>
      <c r="AE737" s="848"/>
      <c r="AF737" s="849"/>
      <c r="AG737" s="847" t="s">
        <v>70</v>
      </c>
      <c r="AH737" s="848"/>
      <c r="AI737" s="848"/>
      <c r="AJ737" s="848"/>
      <c r="AK737" s="848"/>
      <c r="AL737" s="848"/>
      <c r="AM737" s="848"/>
      <c r="AN737" s="849"/>
      <c r="AO737" s="773" t="s">
        <v>71</v>
      </c>
      <c r="AP737" s="774"/>
      <c r="AQ737" s="774"/>
      <c r="AR737" s="779"/>
    </row>
    <row r="738" spans="3:44" ht="18" customHeight="1">
      <c r="C738" s="795"/>
      <c r="D738" s="777"/>
      <c r="E738" s="778"/>
      <c r="F738" s="776"/>
      <c r="G738" s="777"/>
      <c r="H738" s="777"/>
      <c r="I738" s="777"/>
      <c r="J738" s="777"/>
      <c r="K738" s="777"/>
      <c r="L738" s="777"/>
      <c r="M738" s="777"/>
      <c r="N738" s="777"/>
      <c r="O738" s="777"/>
      <c r="P738" s="777"/>
      <c r="Q738" s="777"/>
      <c r="R738" s="777"/>
      <c r="S738" s="777"/>
      <c r="T738" s="777"/>
      <c r="U738" s="778"/>
      <c r="V738" s="776"/>
      <c r="W738" s="777"/>
      <c r="X738" s="778"/>
      <c r="Y738" s="834" t="s">
        <v>72</v>
      </c>
      <c r="Z738" s="835"/>
      <c r="AA738" s="835"/>
      <c r="AB738" s="836"/>
      <c r="AC738" s="834" t="s">
        <v>73</v>
      </c>
      <c r="AD738" s="835"/>
      <c r="AE738" s="835"/>
      <c r="AF738" s="836"/>
      <c r="AG738" s="834" t="s">
        <v>72</v>
      </c>
      <c r="AH738" s="835"/>
      <c r="AI738" s="835"/>
      <c r="AJ738" s="836"/>
      <c r="AK738" s="834" t="s">
        <v>73</v>
      </c>
      <c r="AL738" s="835"/>
      <c r="AM738" s="835"/>
      <c r="AN738" s="836"/>
      <c r="AO738" s="776"/>
      <c r="AP738" s="777"/>
      <c r="AQ738" s="777"/>
      <c r="AR738" s="780"/>
    </row>
    <row r="739" spans="3:44" ht="18" customHeight="1">
      <c r="C739" s="781"/>
      <c r="D739" s="782"/>
      <c r="E739" s="783"/>
      <c r="F739" s="493"/>
      <c r="G739" s="493"/>
      <c r="H739" s="493"/>
      <c r="I739" s="493"/>
      <c r="J739" s="493"/>
      <c r="K739" s="493"/>
      <c r="L739" s="493"/>
      <c r="M739" s="493"/>
      <c r="N739" s="493"/>
      <c r="O739" s="493"/>
      <c r="P739" s="493"/>
      <c r="Q739" s="493"/>
      <c r="R739" s="493"/>
      <c r="S739" s="493"/>
      <c r="T739" s="493"/>
      <c r="U739" s="493"/>
      <c r="V739" s="837"/>
      <c r="W739" s="838"/>
      <c r="X739" s="839"/>
      <c r="Y739" s="837"/>
      <c r="Z739" s="838"/>
      <c r="AA739" s="838"/>
      <c r="AB739" s="839"/>
      <c r="AC739" s="868"/>
      <c r="AD739" s="869"/>
      <c r="AE739" s="869"/>
      <c r="AF739" s="870"/>
      <c r="AG739" s="491"/>
      <c r="AH739" s="491"/>
      <c r="AI739" s="491"/>
      <c r="AJ739" s="491"/>
      <c r="AK739" s="491"/>
      <c r="AL739" s="491"/>
      <c r="AM739" s="491"/>
      <c r="AN739" s="491"/>
      <c r="AO739" s="491"/>
      <c r="AP739" s="491"/>
      <c r="AQ739" s="491"/>
      <c r="AR739" s="492"/>
    </row>
    <row r="740" spans="3:44" ht="18" customHeight="1">
      <c r="C740" s="758"/>
      <c r="D740" s="759"/>
      <c r="E740" s="760"/>
      <c r="F740" s="493"/>
      <c r="G740" s="493"/>
      <c r="H740" s="493"/>
      <c r="I740" s="493"/>
      <c r="J740" s="493"/>
      <c r="K740" s="493"/>
      <c r="L740" s="493"/>
      <c r="M740" s="493"/>
      <c r="N740" s="493"/>
      <c r="O740" s="493"/>
      <c r="P740" s="493"/>
      <c r="Q740" s="493"/>
      <c r="R740" s="493"/>
      <c r="S740" s="493"/>
      <c r="T740" s="493"/>
      <c r="U740" s="493"/>
      <c r="V740" s="466"/>
      <c r="W740" s="467"/>
      <c r="X740" s="468"/>
      <c r="Y740" s="466"/>
      <c r="Z740" s="467"/>
      <c r="AA740" s="467"/>
      <c r="AB740" s="468"/>
      <c r="AC740" s="828"/>
      <c r="AD740" s="829"/>
      <c r="AE740" s="829"/>
      <c r="AF740" s="830"/>
      <c r="AG740" s="491"/>
      <c r="AH740" s="491"/>
      <c r="AI740" s="491"/>
      <c r="AJ740" s="491"/>
      <c r="AK740" s="491"/>
      <c r="AL740" s="491"/>
      <c r="AM740" s="491"/>
      <c r="AN740" s="491"/>
      <c r="AO740" s="491"/>
      <c r="AP740" s="491"/>
      <c r="AQ740" s="491"/>
      <c r="AR740" s="492"/>
    </row>
    <row r="741" spans="3:44" ht="18" customHeight="1">
      <c r="C741" s="758"/>
      <c r="D741" s="759"/>
      <c r="E741" s="760"/>
      <c r="F741" s="493"/>
      <c r="G741" s="493"/>
      <c r="H741" s="493"/>
      <c r="I741" s="493"/>
      <c r="J741" s="493"/>
      <c r="K741" s="493"/>
      <c r="L741" s="493"/>
      <c r="M741" s="493"/>
      <c r="N741" s="493"/>
      <c r="O741" s="493"/>
      <c r="P741" s="493"/>
      <c r="Q741" s="493"/>
      <c r="R741" s="493"/>
      <c r="S741" s="493"/>
      <c r="T741" s="493"/>
      <c r="U741" s="493"/>
      <c r="V741" s="466"/>
      <c r="W741" s="467"/>
      <c r="X741" s="468"/>
      <c r="Y741" s="466"/>
      <c r="Z741" s="467"/>
      <c r="AA741" s="467"/>
      <c r="AB741" s="468"/>
      <c r="AC741" s="828"/>
      <c r="AD741" s="829"/>
      <c r="AE741" s="829"/>
      <c r="AF741" s="830"/>
      <c r="AG741" s="491"/>
      <c r="AH741" s="491"/>
      <c r="AI741" s="491"/>
      <c r="AJ741" s="491"/>
      <c r="AK741" s="491"/>
      <c r="AL741" s="491"/>
      <c r="AM741" s="491"/>
      <c r="AN741" s="491"/>
      <c r="AO741" s="491"/>
      <c r="AP741" s="491"/>
      <c r="AQ741" s="491"/>
      <c r="AR741" s="492"/>
    </row>
    <row r="742" spans="3:44" ht="18" customHeight="1">
      <c r="C742" s="758"/>
      <c r="D742" s="759"/>
      <c r="E742" s="760"/>
      <c r="F742" s="493"/>
      <c r="G742" s="493"/>
      <c r="H742" s="493"/>
      <c r="I742" s="493"/>
      <c r="J742" s="493"/>
      <c r="K742" s="493"/>
      <c r="L742" s="493"/>
      <c r="M742" s="493"/>
      <c r="N742" s="493"/>
      <c r="O742" s="493"/>
      <c r="P742" s="493"/>
      <c r="Q742" s="493"/>
      <c r="R742" s="493"/>
      <c r="S742" s="493"/>
      <c r="T742" s="493"/>
      <c r="U742" s="493"/>
      <c r="V742" s="466"/>
      <c r="W742" s="467"/>
      <c r="X742" s="468"/>
      <c r="Y742" s="466"/>
      <c r="Z742" s="467"/>
      <c r="AA742" s="467"/>
      <c r="AB742" s="468"/>
      <c r="AC742" s="828"/>
      <c r="AD742" s="829"/>
      <c r="AE742" s="829"/>
      <c r="AF742" s="830"/>
      <c r="AG742" s="491"/>
      <c r="AH742" s="491"/>
      <c r="AI742" s="491"/>
      <c r="AJ742" s="491"/>
      <c r="AK742" s="491"/>
      <c r="AL742" s="491"/>
      <c r="AM742" s="491"/>
      <c r="AN742" s="491"/>
      <c r="AO742" s="491"/>
      <c r="AP742" s="491"/>
      <c r="AQ742" s="491"/>
      <c r="AR742" s="492"/>
    </row>
    <row r="743" spans="3:44" ht="18" customHeight="1">
      <c r="C743" s="758"/>
      <c r="D743" s="759"/>
      <c r="E743" s="760"/>
      <c r="F743" s="493"/>
      <c r="G743" s="493"/>
      <c r="H743" s="493"/>
      <c r="I743" s="493"/>
      <c r="J743" s="493"/>
      <c r="K743" s="493"/>
      <c r="L743" s="493"/>
      <c r="M743" s="493"/>
      <c r="N743" s="493"/>
      <c r="O743" s="493"/>
      <c r="P743" s="493"/>
      <c r="Q743" s="493"/>
      <c r="R743" s="493"/>
      <c r="S743" s="493"/>
      <c r="T743" s="493"/>
      <c r="U743" s="493"/>
      <c r="V743" s="466"/>
      <c r="W743" s="467"/>
      <c r="X743" s="468"/>
      <c r="Y743" s="466"/>
      <c r="Z743" s="467"/>
      <c r="AA743" s="467"/>
      <c r="AB743" s="468"/>
      <c r="AC743" s="828"/>
      <c r="AD743" s="829"/>
      <c r="AE743" s="829"/>
      <c r="AF743" s="830"/>
      <c r="AG743" s="491"/>
      <c r="AH743" s="491"/>
      <c r="AI743" s="491"/>
      <c r="AJ743" s="491"/>
      <c r="AK743" s="491"/>
      <c r="AL743" s="491"/>
      <c r="AM743" s="491"/>
      <c r="AN743" s="491"/>
      <c r="AO743" s="491"/>
      <c r="AP743" s="491"/>
      <c r="AQ743" s="491"/>
      <c r="AR743" s="492"/>
    </row>
    <row r="744" spans="3:44" ht="18" customHeight="1">
      <c r="C744" s="758"/>
      <c r="D744" s="759"/>
      <c r="E744" s="760"/>
      <c r="F744" s="493"/>
      <c r="G744" s="493"/>
      <c r="H744" s="493"/>
      <c r="I744" s="493"/>
      <c r="J744" s="493"/>
      <c r="K744" s="493"/>
      <c r="L744" s="493"/>
      <c r="M744" s="493"/>
      <c r="N744" s="493"/>
      <c r="O744" s="493"/>
      <c r="P744" s="493"/>
      <c r="Q744" s="493"/>
      <c r="R744" s="493"/>
      <c r="S744" s="493"/>
      <c r="T744" s="493"/>
      <c r="U744" s="493"/>
      <c r="V744" s="466"/>
      <c r="W744" s="467"/>
      <c r="X744" s="468"/>
      <c r="Y744" s="466"/>
      <c r="Z744" s="467"/>
      <c r="AA744" s="467"/>
      <c r="AB744" s="468"/>
      <c r="AC744" s="828"/>
      <c r="AD744" s="829"/>
      <c r="AE744" s="829"/>
      <c r="AF744" s="830"/>
      <c r="AG744" s="491"/>
      <c r="AH744" s="491"/>
      <c r="AI744" s="491"/>
      <c r="AJ744" s="491"/>
      <c r="AK744" s="491"/>
      <c r="AL744" s="491"/>
      <c r="AM744" s="491"/>
      <c r="AN744" s="491"/>
      <c r="AO744" s="491"/>
      <c r="AP744" s="491"/>
      <c r="AQ744" s="491"/>
      <c r="AR744" s="492"/>
    </row>
    <row r="745" spans="3:44" ht="18" customHeight="1">
      <c r="C745" s="758"/>
      <c r="D745" s="759"/>
      <c r="E745" s="760"/>
      <c r="F745" s="796"/>
      <c r="G745" s="797"/>
      <c r="H745" s="797"/>
      <c r="I745" s="797"/>
      <c r="J745" s="797"/>
      <c r="K745" s="797"/>
      <c r="L745" s="797"/>
      <c r="M745" s="797"/>
      <c r="N745" s="797"/>
      <c r="O745" s="797"/>
      <c r="P745" s="797"/>
      <c r="Q745" s="797"/>
      <c r="R745" s="797"/>
      <c r="S745" s="797"/>
      <c r="T745" s="797"/>
      <c r="U745" s="798"/>
      <c r="V745" s="466"/>
      <c r="W745" s="467"/>
      <c r="X745" s="468"/>
      <c r="Y745" s="466"/>
      <c r="Z745" s="467"/>
      <c r="AA745" s="467"/>
      <c r="AB745" s="468"/>
      <c r="AC745" s="828"/>
      <c r="AD745" s="829"/>
      <c r="AE745" s="829"/>
      <c r="AF745" s="830"/>
      <c r="AG745" s="466"/>
      <c r="AH745" s="467"/>
      <c r="AI745" s="467"/>
      <c r="AJ745" s="468"/>
      <c r="AK745" s="466"/>
      <c r="AL745" s="467"/>
      <c r="AM745" s="467"/>
      <c r="AN745" s="468"/>
      <c r="AO745" s="466"/>
      <c r="AP745" s="467"/>
      <c r="AQ745" s="467"/>
      <c r="AR745" s="823"/>
    </row>
    <row r="746" spans="3:44" ht="18" customHeight="1">
      <c r="C746" s="758"/>
      <c r="D746" s="759"/>
      <c r="E746" s="760"/>
      <c r="F746" s="796"/>
      <c r="G746" s="797"/>
      <c r="H746" s="797"/>
      <c r="I746" s="797"/>
      <c r="J746" s="797"/>
      <c r="K746" s="797"/>
      <c r="L746" s="797"/>
      <c r="M746" s="797"/>
      <c r="N746" s="797"/>
      <c r="O746" s="797"/>
      <c r="P746" s="797"/>
      <c r="Q746" s="797"/>
      <c r="R746" s="797"/>
      <c r="S746" s="797"/>
      <c r="T746" s="797"/>
      <c r="U746" s="798"/>
      <c r="V746" s="466"/>
      <c r="W746" s="467"/>
      <c r="X746" s="468"/>
      <c r="Y746" s="466"/>
      <c r="Z746" s="467"/>
      <c r="AA746" s="467"/>
      <c r="AB746" s="468"/>
      <c r="AC746" s="828"/>
      <c r="AD746" s="829"/>
      <c r="AE746" s="829"/>
      <c r="AF746" s="830"/>
      <c r="AG746" s="466"/>
      <c r="AH746" s="467"/>
      <c r="AI746" s="467"/>
      <c r="AJ746" s="468"/>
      <c r="AK746" s="466"/>
      <c r="AL746" s="467"/>
      <c r="AM746" s="467"/>
      <c r="AN746" s="468"/>
      <c r="AO746" s="466"/>
      <c r="AP746" s="467"/>
      <c r="AQ746" s="467"/>
      <c r="AR746" s="823"/>
    </row>
    <row r="747" spans="3:44" ht="18" customHeight="1">
      <c r="C747" s="743"/>
      <c r="D747" s="744"/>
      <c r="E747" s="744"/>
      <c r="F747" s="744"/>
      <c r="G747" s="744"/>
      <c r="H747" s="744"/>
      <c r="I747" s="744"/>
      <c r="J747" s="744"/>
      <c r="K747" s="744"/>
      <c r="L747" s="744"/>
      <c r="M747" s="744"/>
      <c r="N747" s="744"/>
      <c r="O747" s="744"/>
      <c r="P747" s="744"/>
      <c r="Q747" s="744"/>
      <c r="R747" s="744"/>
      <c r="S747" s="744"/>
      <c r="T747" s="744"/>
      <c r="U747" s="744"/>
      <c r="V747" s="744"/>
      <c r="W747" s="744"/>
      <c r="X747" s="824"/>
      <c r="Y747" s="825" t="s">
        <v>74</v>
      </c>
      <c r="Z747" s="826"/>
      <c r="AA747" s="826"/>
      <c r="AB747" s="826"/>
      <c r="AC747" s="826"/>
      <c r="AD747" s="826"/>
      <c r="AE747" s="826"/>
      <c r="AF747" s="826"/>
      <c r="AG747" s="826"/>
      <c r="AH747" s="826"/>
      <c r="AI747" s="826"/>
      <c r="AJ747" s="826"/>
      <c r="AK747" s="826"/>
      <c r="AL747" s="826"/>
      <c r="AM747" s="826"/>
      <c r="AN747" s="827"/>
      <c r="AO747" s="477">
        <f>SUM(AO739:AR746)</f>
        <v>0</v>
      </c>
      <c r="AP747" s="746"/>
      <c r="AQ747" s="746"/>
      <c r="AR747" s="747"/>
    </row>
    <row r="749" spans="3:44" ht="18" customHeight="1">
      <c r="C749" s="794" t="s">
        <v>43</v>
      </c>
      <c r="D749" s="774"/>
      <c r="E749" s="775"/>
      <c r="F749" s="773" t="s">
        <v>75</v>
      </c>
      <c r="G749" s="774"/>
      <c r="H749" s="774"/>
      <c r="I749" s="774"/>
      <c r="J749" s="774"/>
      <c r="K749" s="774"/>
      <c r="L749" s="774"/>
      <c r="M749" s="774"/>
      <c r="N749" s="774"/>
      <c r="O749" s="774"/>
      <c r="P749" s="774"/>
      <c r="Q749" s="774"/>
      <c r="R749" s="774"/>
      <c r="S749" s="774"/>
      <c r="T749" s="774"/>
      <c r="U749" s="774"/>
      <c r="V749" s="774"/>
      <c r="W749" s="774"/>
      <c r="X749" s="774"/>
      <c r="Y749" s="774"/>
      <c r="Z749" s="774"/>
      <c r="AA749" s="774"/>
      <c r="AB749" s="775"/>
      <c r="AC749" s="773" t="s">
        <v>76</v>
      </c>
      <c r="AD749" s="774"/>
      <c r="AE749" s="774"/>
      <c r="AF749" s="775"/>
      <c r="AG749" s="773" t="s">
        <v>249</v>
      </c>
      <c r="AH749" s="774"/>
      <c r="AI749" s="774"/>
      <c r="AJ749" s="775"/>
      <c r="AK749" s="773" t="s">
        <v>77</v>
      </c>
      <c r="AL749" s="774"/>
      <c r="AM749" s="774"/>
      <c r="AN749" s="775"/>
      <c r="AO749" s="773" t="s">
        <v>71</v>
      </c>
      <c r="AP749" s="774"/>
      <c r="AQ749" s="774"/>
      <c r="AR749" s="779"/>
    </row>
    <row r="750" spans="3:44" ht="18" customHeight="1">
      <c r="C750" s="795"/>
      <c r="D750" s="777"/>
      <c r="E750" s="778"/>
      <c r="F750" s="776"/>
      <c r="G750" s="777"/>
      <c r="H750" s="777"/>
      <c r="I750" s="777"/>
      <c r="J750" s="777"/>
      <c r="K750" s="777"/>
      <c r="L750" s="777"/>
      <c r="M750" s="777"/>
      <c r="N750" s="777"/>
      <c r="O750" s="777"/>
      <c r="P750" s="777"/>
      <c r="Q750" s="777"/>
      <c r="R750" s="777"/>
      <c r="S750" s="777"/>
      <c r="T750" s="777"/>
      <c r="U750" s="777"/>
      <c r="V750" s="777"/>
      <c r="W750" s="777"/>
      <c r="X750" s="777"/>
      <c r="Y750" s="777"/>
      <c r="Z750" s="777"/>
      <c r="AA750" s="777"/>
      <c r="AB750" s="778"/>
      <c r="AC750" s="776"/>
      <c r="AD750" s="777"/>
      <c r="AE750" s="777"/>
      <c r="AF750" s="778"/>
      <c r="AG750" s="776"/>
      <c r="AH750" s="777"/>
      <c r="AI750" s="777"/>
      <c r="AJ750" s="778"/>
      <c r="AK750" s="776"/>
      <c r="AL750" s="777"/>
      <c r="AM750" s="777"/>
      <c r="AN750" s="778"/>
      <c r="AO750" s="776"/>
      <c r="AP750" s="777"/>
      <c r="AQ750" s="777"/>
      <c r="AR750" s="780"/>
    </row>
    <row r="751" spans="3:44" ht="18" customHeight="1">
      <c r="C751" s="781" t="s">
        <v>940</v>
      </c>
      <c r="D751" s="782"/>
      <c r="E751" s="783"/>
      <c r="F751" s="493" t="s">
        <v>105</v>
      </c>
      <c r="G751" s="493"/>
      <c r="H751" s="493"/>
      <c r="I751" s="493"/>
      <c r="J751" s="493"/>
      <c r="K751" s="493"/>
      <c r="L751" s="493"/>
      <c r="M751" s="493"/>
      <c r="N751" s="493"/>
      <c r="O751" s="493"/>
      <c r="P751" s="493"/>
      <c r="Q751" s="493"/>
      <c r="R751" s="493"/>
      <c r="S751" s="493"/>
      <c r="T751" s="493"/>
      <c r="U751" s="493"/>
      <c r="V751" s="493"/>
      <c r="W751" s="493"/>
      <c r="X751" s="493"/>
      <c r="Y751" s="493"/>
      <c r="Z751" s="493"/>
      <c r="AA751" s="493"/>
      <c r="AB751" s="493"/>
      <c r="AC751" s="770"/>
      <c r="AD751" s="771"/>
      <c r="AE751" s="771"/>
      <c r="AF751" s="790"/>
      <c r="AG751" s="770">
        <v>14.8</v>
      </c>
      <c r="AH751" s="771"/>
      <c r="AI751" s="771"/>
      <c r="AJ751" s="790"/>
      <c r="AK751" s="449">
        <f>VLOOKUP(C751,[4]MÃODEOBRA!A$1:D$65536,4,FALSE)</f>
        <v>22.98488</v>
      </c>
      <c r="AL751" s="449"/>
      <c r="AM751" s="449"/>
      <c r="AN751" s="449"/>
      <c r="AO751" s="491">
        <f>ROUND(AG751*AK751,2)</f>
        <v>340.18</v>
      </c>
      <c r="AP751" s="491"/>
      <c r="AQ751" s="491"/>
      <c r="AR751" s="492"/>
    </row>
    <row r="752" spans="3:44" ht="18" customHeight="1">
      <c r="C752" s="758"/>
      <c r="D752" s="759"/>
      <c r="E752" s="760"/>
      <c r="F752" s="493"/>
      <c r="G752" s="493"/>
      <c r="H752" s="493"/>
      <c r="I752" s="493"/>
      <c r="J752" s="493"/>
      <c r="K752" s="493"/>
      <c r="L752" s="493"/>
      <c r="M752" s="493"/>
      <c r="N752" s="493"/>
      <c r="O752" s="493"/>
      <c r="P752" s="493"/>
      <c r="Q752" s="493"/>
      <c r="R752" s="493"/>
      <c r="S752" s="493"/>
      <c r="T752" s="493"/>
      <c r="U752" s="493"/>
      <c r="V752" s="493"/>
      <c r="W752" s="493"/>
      <c r="X752" s="493"/>
      <c r="Y752" s="493"/>
      <c r="Z752" s="493"/>
      <c r="AA752" s="493"/>
      <c r="AB752" s="493"/>
      <c r="AC752" s="740"/>
      <c r="AD752" s="741"/>
      <c r="AE752" s="741"/>
      <c r="AF752" s="757"/>
      <c r="AG752" s="740"/>
      <c r="AH752" s="741"/>
      <c r="AI752" s="741"/>
      <c r="AJ752" s="757"/>
      <c r="AK752" s="449"/>
      <c r="AL752" s="449"/>
      <c r="AM752" s="449"/>
      <c r="AN752" s="449"/>
      <c r="AO752" s="491"/>
      <c r="AP752" s="491"/>
      <c r="AQ752" s="491"/>
      <c r="AR752" s="492"/>
    </row>
    <row r="753" spans="3:44" ht="18" customHeight="1">
      <c r="C753" s="758"/>
      <c r="D753" s="759"/>
      <c r="E753" s="760"/>
      <c r="F753" s="796"/>
      <c r="G753" s="797"/>
      <c r="H753" s="797"/>
      <c r="I753" s="797"/>
      <c r="J753" s="797"/>
      <c r="K753" s="797"/>
      <c r="L753" s="797"/>
      <c r="M753" s="797"/>
      <c r="N753" s="797"/>
      <c r="O753" s="797"/>
      <c r="P753" s="797"/>
      <c r="Q753" s="797"/>
      <c r="R753" s="797"/>
      <c r="S753" s="797"/>
      <c r="T753" s="797"/>
      <c r="U753" s="797"/>
      <c r="V753" s="797"/>
      <c r="W753" s="797"/>
      <c r="X753" s="797"/>
      <c r="Y753" s="797"/>
      <c r="Z753" s="797"/>
      <c r="AA753" s="797"/>
      <c r="AB753" s="798"/>
      <c r="AC753" s="740"/>
      <c r="AD753" s="741"/>
      <c r="AE753" s="741"/>
      <c r="AF753" s="757"/>
      <c r="AG753" s="740"/>
      <c r="AH753" s="741"/>
      <c r="AI753" s="741"/>
      <c r="AJ753" s="757"/>
      <c r="AK753" s="740"/>
      <c r="AL753" s="741"/>
      <c r="AM753" s="741"/>
      <c r="AN753" s="757"/>
      <c r="AO753" s="466"/>
      <c r="AP753" s="467"/>
      <c r="AQ753" s="467"/>
      <c r="AR753" s="823"/>
    </row>
    <row r="754" spans="3:44" ht="18" customHeight="1">
      <c r="C754" s="758"/>
      <c r="D754" s="759"/>
      <c r="E754" s="760"/>
      <c r="F754" s="796"/>
      <c r="G754" s="797"/>
      <c r="H754" s="797"/>
      <c r="I754" s="797"/>
      <c r="J754" s="797"/>
      <c r="K754" s="797"/>
      <c r="L754" s="797"/>
      <c r="M754" s="797"/>
      <c r="N754" s="797"/>
      <c r="O754" s="797"/>
      <c r="P754" s="797"/>
      <c r="Q754" s="797"/>
      <c r="R754" s="797"/>
      <c r="S754" s="797"/>
      <c r="T754" s="797"/>
      <c r="U754" s="797"/>
      <c r="V754" s="797"/>
      <c r="W754" s="797"/>
      <c r="X754" s="797"/>
      <c r="Y754" s="797"/>
      <c r="Z754" s="797"/>
      <c r="AA754" s="797"/>
      <c r="AB754" s="798"/>
      <c r="AC754" s="740"/>
      <c r="AD754" s="741"/>
      <c r="AE754" s="741"/>
      <c r="AF754" s="757"/>
      <c r="AG754" s="740"/>
      <c r="AH754" s="741"/>
      <c r="AI754" s="741"/>
      <c r="AJ754" s="757"/>
      <c r="AK754" s="740"/>
      <c r="AL754" s="741"/>
      <c r="AM754" s="741"/>
      <c r="AN754" s="757"/>
      <c r="AO754" s="466"/>
      <c r="AP754" s="467"/>
      <c r="AQ754" s="467"/>
      <c r="AR754" s="823"/>
    </row>
    <row r="755" spans="3:44" ht="18" customHeight="1">
      <c r="C755" s="758"/>
      <c r="D755" s="759"/>
      <c r="E755" s="760"/>
      <c r="F755" s="796"/>
      <c r="G755" s="797"/>
      <c r="H755" s="797"/>
      <c r="I755" s="797"/>
      <c r="J755" s="797"/>
      <c r="K755" s="797"/>
      <c r="L755" s="797"/>
      <c r="M755" s="797"/>
      <c r="N755" s="797"/>
      <c r="O755" s="797"/>
      <c r="P755" s="797"/>
      <c r="Q755" s="797"/>
      <c r="R755" s="797"/>
      <c r="S755" s="797"/>
      <c r="T755" s="797"/>
      <c r="U755" s="797"/>
      <c r="V755" s="797"/>
      <c r="W755" s="797"/>
      <c r="X755" s="797"/>
      <c r="Y755" s="797"/>
      <c r="Z755" s="797"/>
      <c r="AA755" s="797"/>
      <c r="AB755" s="798"/>
      <c r="AC755" s="740"/>
      <c r="AD755" s="741"/>
      <c r="AE755" s="741"/>
      <c r="AF755" s="757"/>
      <c r="AG755" s="740"/>
      <c r="AH755" s="741"/>
      <c r="AI755" s="741"/>
      <c r="AJ755" s="757"/>
      <c r="AK755" s="740"/>
      <c r="AL755" s="741"/>
      <c r="AM755" s="741"/>
      <c r="AN755" s="757"/>
      <c r="AO755" s="466"/>
      <c r="AP755" s="467"/>
      <c r="AQ755" s="467"/>
      <c r="AR755" s="823"/>
    </row>
    <row r="756" spans="3:44" ht="18" customHeight="1">
      <c r="C756" s="758"/>
      <c r="D756" s="759"/>
      <c r="E756" s="760"/>
      <c r="F756" s="796"/>
      <c r="G756" s="797"/>
      <c r="H756" s="797"/>
      <c r="I756" s="797"/>
      <c r="J756" s="797"/>
      <c r="K756" s="797"/>
      <c r="L756" s="797"/>
      <c r="M756" s="797"/>
      <c r="N756" s="797"/>
      <c r="O756" s="797"/>
      <c r="P756" s="797"/>
      <c r="Q756" s="797"/>
      <c r="R756" s="797"/>
      <c r="S756" s="797"/>
      <c r="T756" s="797"/>
      <c r="U756" s="797"/>
      <c r="V756" s="797"/>
      <c r="W756" s="797"/>
      <c r="X756" s="797"/>
      <c r="Y756" s="797"/>
      <c r="Z756" s="797"/>
      <c r="AA756" s="797"/>
      <c r="AB756" s="798"/>
      <c r="AC756" s="740"/>
      <c r="AD756" s="741"/>
      <c r="AE756" s="741"/>
      <c r="AF756" s="757"/>
      <c r="AG756" s="740"/>
      <c r="AH756" s="741"/>
      <c r="AI756" s="741"/>
      <c r="AJ756" s="757"/>
      <c r="AK756" s="740"/>
      <c r="AL756" s="741"/>
      <c r="AM756" s="741"/>
      <c r="AN756" s="757"/>
      <c r="AO756" s="466"/>
      <c r="AP756" s="467"/>
      <c r="AQ756" s="467"/>
      <c r="AR756" s="823"/>
    </row>
    <row r="757" spans="3:44" ht="18" customHeight="1">
      <c r="C757" s="758"/>
      <c r="D757" s="759"/>
      <c r="E757" s="760"/>
      <c r="F757" s="796"/>
      <c r="G757" s="797"/>
      <c r="H757" s="797"/>
      <c r="I757" s="797"/>
      <c r="J757" s="797"/>
      <c r="K757" s="797"/>
      <c r="L757" s="797"/>
      <c r="M757" s="797"/>
      <c r="N757" s="797"/>
      <c r="O757" s="797"/>
      <c r="P757" s="797"/>
      <c r="Q757" s="797"/>
      <c r="R757" s="797"/>
      <c r="S757" s="797"/>
      <c r="T757" s="797"/>
      <c r="U757" s="797"/>
      <c r="V757" s="797"/>
      <c r="W757" s="797"/>
      <c r="X757" s="797"/>
      <c r="Y757" s="797"/>
      <c r="Z757" s="797"/>
      <c r="AA757" s="797"/>
      <c r="AB757" s="798"/>
      <c r="AC757" s="740"/>
      <c r="AD757" s="741"/>
      <c r="AE757" s="741"/>
      <c r="AF757" s="757"/>
      <c r="AG757" s="740"/>
      <c r="AH757" s="741"/>
      <c r="AI757" s="741"/>
      <c r="AJ757" s="757"/>
      <c r="AK757" s="740"/>
      <c r="AL757" s="741"/>
      <c r="AM757" s="741"/>
      <c r="AN757" s="757"/>
      <c r="AO757" s="466"/>
      <c r="AP757" s="467"/>
      <c r="AQ757" s="467"/>
      <c r="AR757" s="823"/>
    </row>
    <row r="758" spans="3:44" ht="18" customHeight="1">
      <c r="C758" s="758"/>
      <c r="D758" s="759"/>
      <c r="E758" s="760"/>
      <c r="F758" s="796"/>
      <c r="G758" s="797"/>
      <c r="H758" s="797"/>
      <c r="I758" s="797"/>
      <c r="J758" s="797"/>
      <c r="K758" s="797"/>
      <c r="L758" s="797"/>
      <c r="M758" s="797"/>
      <c r="N758" s="797"/>
      <c r="O758" s="797"/>
      <c r="P758" s="797"/>
      <c r="Q758" s="797"/>
      <c r="R758" s="797"/>
      <c r="S758" s="797"/>
      <c r="T758" s="797"/>
      <c r="U758" s="797"/>
      <c r="V758" s="797"/>
      <c r="W758" s="797"/>
      <c r="X758" s="797"/>
      <c r="Y758" s="797"/>
      <c r="Z758" s="797"/>
      <c r="AA758" s="797"/>
      <c r="AB758" s="798"/>
      <c r="AC758" s="740"/>
      <c r="AD758" s="741"/>
      <c r="AE758" s="741"/>
      <c r="AF758" s="757"/>
      <c r="AG758" s="740"/>
      <c r="AH758" s="741"/>
      <c r="AI758" s="741"/>
      <c r="AJ758" s="757"/>
      <c r="AK758" s="740"/>
      <c r="AL758" s="741"/>
      <c r="AM758" s="741"/>
      <c r="AN758" s="757"/>
      <c r="AO758" s="466"/>
      <c r="AP758" s="467"/>
      <c r="AQ758" s="467"/>
      <c r="AR758" s="823"/>
    </row>
    <row r="759" spans="3:44" ht="18" customHeight="1">
      <c r="C759" s="814"/>
      <c r="D759" s="815"/>
      <c r="E759" s="815"/>
      <c r="F759" s="815"/>
      <c r="G759" s="815"/>
      <c r="H759" s="815"/>
      <c r="I759" s="815"/>
      <c r="J759" s="815"/>
      <c r="K759" s="815"/>
      <c r="L759" s="815"/>
      <c r="M759" s="815"/>
      <c r="N759" s="815"/>
      <c r="O759" s="815"/>
      <c r="P759" s="815"/>
      <c r="Q759" s="815"/>
      <c r="R759" s="815"/>
      <c r="S759" s="815"/>
      <c r="T759" s="815"/>
      <c r="U759" s="815"/>
      <c r="V759" s="815"/>
      <c r="W759" s="815"/>
      <c r="X759" s="815"/>
      <c r="Y759" s="816" t="s">
        <v>78</v>
      </c>
      <c r="Z759" s="816"/>
      <c r="AA759" s="816"/>
      <c r="AB759" s="816"/>
      <c r="AC759" s="816"/>
      <c r="AD759" s="816"/>
      <c r="AE759" s="816"/>
      <c r="AF759" s="483"/>
      <c r="AG759" s="817" t="s">
        <v>267</v>
      </c>
      <c r="AH759" s="818"/>
      <c r="AI759" s="818"/>
      <c r="AJ759" s="819"/>
      <c r="AK759" s="466">
        <f>SUM(AO751:AR758)</f>
        <v>340.18</v>
      </c>
      <c r="AL759" s="467"/>
      <c r="AM759" s="467"/>
      <c r="AN759" s="468"/>
      <c r="AO759" s="820">
        <f>ROUND(AG759*AK759,2)</f>
        <v>69.77</v>
      </c>
      <c r="AP759" s="821"/>
      <c r="AQ759" s="821"/>
      <c r="AR759" s="822"/>
    </row>
    <row r="760" spans="3:44" ht="18" customHeight="1">
      <c r="C760" s="743"/>
      <c r="D760" s="744"/>
      <c r="E760" s="744"/>
      <c r="F760" s="744"/>
      <c r="G760" s="744"/>
      <c r="H760" s="744"/>
      <c r="I760" s="744"/>
      <c r="J760" s="744"/>
      <c r="K760" s="744"/>
      <c r="L760" s="744"/>
      <c r="M760" s="744"/>
      <c r="N760" s="744"/>
      <c r="O760" s="744"/>
      <c r="P760" s="744"/>
      <c r="Q760" s="744"/>
      <c r="R760" s="744"/>
      <c r="S760" s="744"/>
      <c r="T760" s="744"/>
      <c r="U760" s="744"/>
      <c r="V760" s="744"/>
      <c r="W760" s="744"/>
      <c r="X760" s="744"/>
      <c r="Y760" s="745" t="s">
        <v>79</v>
      </c>
      <c r="Z760" s="745"/>
      <c r="AA760" s="745"/>
      <c r="AB760" s="745"/>
      <c r="AC760" s="745"/>
      <c r="AD760" s="745"/>
      <c r="AE760" s="745"/>
      <c r="AF760" s="745"/>
      <c r="AG760" s="745"/>
      <c r="AH760" s="745"/>
      <c r="AI760" s="745"/>
      <c r="AJ760" s="745"/>
      <c r="AK760" s="745"/>
      <c r="AL760" s="745"/>
      <c r="AM760" s="745"/>
      <c r="AN760" s="430"/>
      <c r="AO760" s="477">
        <f>SUM(AO751:AR759)</f>
        <v>409.95</v>
      </c>
      <c r="AP760" s="746"/>
      <c r="AQ760" s="746"/>
      <c r="AR760" s="747"/>
    </row>
    <row r="762" spans="3:44" ht="18" customHeight="1">
      <c r="C762" s="802"/>
      <c r="D762" s="803"/>
      <c r="E762" s="803"/>
      <c r="F762" s="803"/>
      <c r="G762" s="803"/>
      <c r="H762" s="803"/>
      <c r="I762" s="803"/>
      <c r="J762" s="803"/>
      <c r="K762" s="803"/>
      <c r="L762" s="803"/>
      <c r="M762" s="803"/>
      <c r="N762" s="803"/>
      <c r="O762" s="803"/>
      <c r="P762" s="803"/>
      <c r="Q762" s="803"/>
      <c r="R762" s="803"/>
      <c r="S762" s="803"/>
      <c r="T762" s="803"/>
      <c r="U762" s="803"/>
      <c r="V762" s="803"/>
      <c r="W762" s="803"/>
      <c r="X762" s="803"/>
      <c r="Y762" s="804" t="s">
        <v>80</v>
      </c>
      <c r="Z762" s="805"/>
      <c r="AA762" s="805"/>
      <c r="AB762" s="805"/>
      <c r="AC762" s="805"/>
      <c r="AD762" s="805"/>
      <c r="AE762" s="805"/>
      <c r="AF762" s="805"/>
      <c r="AG762" s="805"/>
      <c r="AH762" s="805"/>
      <c r="AI762" s="805"/>
      <c r="AJ762" s="805"/>
      <c r="AK762" s="805"/>
      <c r="AL762" s="805"/>
      <c r="AM762" s="805"/>
      <c r="AN762" s="806"/>
      <c r="AO762" s="807">
        <f>AO747+AO760</f>
        <v>409.95</v>
      </c>
      <c r="AP762" s="808"/>
      <c r="AQ762" s="808"/>
      <c r="AR762" s="809"/>
    </row>
    <row r="763" spans="3:44" ht="18" customHeight="1">
      <c r="C763" s="810" t="s">
        <v>81</v>
      </c>
      <c r="D763" s="745"/>
      <c r="E763" s="745"/>
      <c r="F763" s="745"/>
      <c r="G763" s="745"/>
      <c r="H763" s="745"/>
      <c r="I763" s="745"/>
      <c r="J763" s="745"/>
      <c r="K763" s="745"/>
      <c r="L763" s="745"/>
      <c r="M763" s="745"/>
      <c r="N763" s="745"/>
      <c r="O763" s="745"/>
      <c r="P763" s="430"/>
      <c r="Q763" s="477">
        <v>1</v>
      </c>
      <c r="R763" s="746"/>
      <c r="S763" s="746"/>
      <c r="T763" s="746"/>
      <c r="U763" s="746"/>
      <c r="V763" s="745" t="s">
        <v>194</v>
      </c>
      <c r="W763" s="745"/>
      <c r="X763" s="430"/>
      <c r="Y763" s="804" t="s">
        <v>82</v>
      </c>
      <c r="Z763" s="805"/>
      <c r="AA763" s="805"/>
      <c r="AB763" s="805"/>
      <c r="AC763" s="805"/>
      <c r="AD763" s="805"/>
      <c r="AE763" s="805"/>
      <c r="AF763" s="805"/>
      <c r="AG763" s="805"/>
      <c r="AH763" s="805"/>
      <c r="AI763" s="805"/>
      <c r="AJ763" s="805"/>
      <c r="AK763" s="805"/>
      <c r="AL763" s="805"/>
      <c r="AM763" s="805"/>
      <c r="AN763" s="806"/>
      <c r="AO763" s="811">
        <f>ROUND(AO762/Q763,2)</f>
        <v>409.95</v>
      </c>
      <c r="AP763" s="812"/>
      <c r="AQ763" s="812"/>
      <c r="AR763" s="813"/>
    </row>
    <row r="765" spans="3:44" ht="18" customHeight="1">
      <c r="C765" s="794" t="s">
        <v>43</v>
      </c>
      <c r="D765" s="774"/>
      <c r="E765" s="775"/>
      <c r="F765" s="773" t="s">
        <v>83</v>
      </c>
      <c r="G765" s="774"/>
      <c r="H765" s="774"/>
      <c r="I765" s="774"/>
      <c r="J765" s="774"/>
      <c r="K765" s="774"/>
      <c r="L765" s="774"/>
      <c r="M765" s="774"/>
      <c r="N765" s="774"/>
      <c r="O765" s="774"/>
      <c r="P765" s="774"/>
      <c r="Q765" s="774"/>
      <c r="R765" s="774"/>
      <c r="S765" s="774"/>
      <c r="T765" s="774"/>
      <c r="U765" s="774"/>
      <c r="V765" s="774"/>
      <c r="W765" s="774"/>
      <c r="X765" s="774"/>
      <c r="Y765" s="774"/>
      <c r="Z765" s="774"/>
      <c r="AA765" s="774"/>
      <c r="AB765" s="775"/>
      <c r="AC765" s="773" t="s">
        <v>84</v>
      </c>
      <c r="AD765" s="774"/>
      <c r="AE765" s="774"/>
      <c r="AF765" s="775"/>
      <c r="AG765" s="773" t="s">
        <v>85</v>
      </c>
      <c r="AH765" s="774"/>
      <c r="AI765" s="774"/>
      <c r="AJ765" s="775"/>
      <c r="AK765" s="773" t="s">
        <v>86</v>
      </c>
      <c r="AL765" s="774"/>
      <c r="AM765" s="774"/>
      <c r="AN765" s="775"/>
      <c r="AO765" s="773" t="s">
        <v>87</v>
      </c>
      <c r="AP765" s="774"/>
      <c r="AQ765" s="774"/>
      <c r="AR765" s="779"/>
    </row>
    <row r="766" spans="3:44" ht="18" customHeight="1">
      <c r="C766" s="795"/>
      <c r="D766" s="777"/>
      <c r="E766" s="778"/>
      <c r="F766" s="776"/>
      <c r="G766" s="777"/>
      <c r="H766" s="777"/>
      <c r="I766" s="777"/>
      <c r="J766" s="777"/>
      <c r="K766" s="777"/>
      <c r="L766" s="777"/>
      <c r="M766" s="777"/>
      <c r="N766" s="777"/>
      <c r="O766" s="777"/>
      <c r="P766" s="777"/>
      <c r="Q766" s="777"/>
      <c r="R766" s="777"/>
      <c r="S766" s="777"/>
      <c r="T766" s="777"/>
      <c r="U766" s="777"/>
      <c r="V766" s="777"/>
      <c r="W766" s="777"/>
      <c r="X766" s="777"/>
      <c r="Y766" s="777"/>
      <c r="Z766" s="777"/>
      <c r="AA766" s="777"/>
      <c r="AB766" s="778"/>
      <c r="AC766" s="776"/>
      <c r="AD766" s="777"/>
      <c r="AE766" s="777"/>
      <c r="AF766" s="778"/>
      <c r="AG766" s="776"/>
      <c r="AH766" s="777"/>
      <c r="AI766" s="777"/>
      <c r="AJ766" s="778"/>
      <c r="AK766" s="776"/>
      <c r="AL766" s="777"/>
      <c r="AM766" s="777"/>
      <c r="AN766" s="778"/>
      <c r="AO766" s="776"/>
      <c r="AP766" s="777"/>
      <c r="AQ766" s="777"/>
      <c r="AR766" s="780"/>
    </row>
    <row r="767" spans="3:44" ht="18" customHeight="1">
      <c r="C767" s="758" t="s">
        <v>715</v>
      </c>
      <c r="D767" s="759"/>
      <c r="E767" s="760"/>
      <c r="F767" s="796" t="s">
        <v>454</v>
      </c>
      <c r="G767" s="797"/>
      <c r="H767" s="797"/>
      <c r="I767" s="797"/>
      <c r="J767" s="797"/>
      <c r="K767" s="797"/>
      <c r="L767" s="797"/>
      <c r="M767" s="797"/>
      <c r="N767" s="797"/>
      <c r="O767" s="797"/>
      <c r="P767" s="797"/>
      <c r="Q767" s="797"/>
      <c r="R767" s="797"/>
      <c r="S767" s="797"/>
      <c r="T767" s="797"/>
      <c r="U767" s="797"/>
      <c r="V767" s="797"/>
      <c r="W767" s="797"/>
      <c r="X767" s="797"/>
      <c r="Y767" s="797"/>
      <c r="Z767" s="797"/>
      <c r="AA767" s="797"/>
      <c r="AB767" s="798"/>
      <c r="AC767" s="799" t="s">
        <v>245</v>
      </c>
      <c r="AD767" s="800"/>
      <c r="AE767" s="800"/>
      <c r="AF767" s="801"/>
      <c r="AG767" s="466">
        <f>TRUNC(304.4/1.2031,2)</f>
        <v>253.01</v>
      </c>
      <c r="AH767" s="467"/>
      <c r="AI767" s="467"/>
      <c r="AJ767" s="468"/>
      <c r="AK767" s="737">
        <v>7.38</v>
      </c>
      <c r="AL767" s="738"/>
      <c r="AM767" s="738"/>
      <c r="AN767" s="739"/>
      <c r="AO767" s="740">
        <f>ROUND(AG767*AK767,2)</f>
        <v>1867.21</v>
      </c>
      <c r="AP767" s="741"/>
      <c r="AQ767" s="741"/>
      <c r="AR767" s="742"/>
    </row>
    <row r="768" spans="3:44" ht="18" customHeight="1">
      <c r="C768" s="758" t="s">
        <v>1377</v>
      </c>
      <c r="D768" s="759"/>
      <c r="E768" s="760"/>
      <c r="F768" s="796" t="s">
        <v>417</v>
      </c>
      <c r="G768" s="797"/>
      <c r="H768" s="797"/>
      <c r="I768" s="797"/>
      <c r="J768" s="797"/>
      <c r="K768" s="797"/>
      <c r="L768" s="797"/>
      <c r="M768" s="797"/>
      <c r="N768" s="797"/>
      <c r="O768" s="797"/>
      <c r="P768" s="797"/>
      <c r="Q768" s="797"/>
      <c r="R768" s="797"/>
      <c r="S768" s="797"/>
      <c r="T768" s="797"/>
      <c r="U768" s="797"/>
      <c r="V768" s="797"/>
      <c r="W768" s="797"/>
      <c r="X768" s="797"/>
      <c r="Y768" s="797"/>
      <c r="Z768" s="797"/>
      <c r="AA768" s="797"/>
      <c r="AB768" s="798"/>
      <c r="AC768" s="799" t="s">
        <v>245</v>
      </c>
      <c r="AD768" s="800"/>
      <c r="AE768" s="800"/>
      <c r="AF768" s="801"/>
      <c r="AG768" s="466">
        <f>TRUNC(373.21/1.2031,2)</f>
        <v>310.2</v>
      </c>
      <c r="AH768" s="467"/>
      <c r="AI768" s="467"/>
      <c r="AJ768" s="468"/>
      <c r="AK768" s="737">
        <v>3.198</v>
      </c>
      <c r="AL768" s="738"/>
      <c r="AM768" s="738"/>
      <c r="AN768" s="739"/>
      <c r="AO768" s="740">
        <f>ROUND(AG768*AK768,2)</f>
        <v>992.02</v>
      </c>
      <c r="AP768" s="741"/>
      <c r="AQ768" s="741"/>
      <c r="AR768" s="742"/>
    </row>
    <row r="769" spans="3:44" ht="18" customHeight="1">
      <c r="C769" s="758" t="s">
        <v>1376</v>
      </c>
      <c r="D769" s="759"/>
      <c r="E769" s="760"/>
      <c r="F769" s="796" t="s">
        <v>370</v>
      </c>
      <c r="G769" s="797"/>
      <c r="H769" s="797"/>
      <c r="I769" s="797"/>
      <c r="J769" s="797"/>
      <c r="K769" s="797"/>
      <c r="L769" s="797"/>
      <c r="M769" s="797"/>
      <c r="N769" s="797"/>
      <c r="O769" s="797"/>
      <c r="P769" s="797"/>
      <c r="Q769" s="797"/>
      <c r="R769" s="797"/>
      <c r="S769" s="797"/>
      <c r="T769" s="797"/>
      <c r="U769" s="797"/>
      <c r="V769" s="797"/>
      <c r="W769" s="797"/>
      <c r="X769" s="797"/>
      <c r="Y769" s="797"/>
      <c r="Z769" s="797"/>
      <c r="AA769" s="797"/>
      <c r="AB769" s="798"/>
      <c r="AC769" s="799" t="s">
        <v>309</v>
      </c>
      <c r="AD769" s="800"/>
      <c r="AE769" s="800"/>
      <c r="AF769" s="801"/>
      <c r="AG769" s="466">
        <f>TRUNC(43.8/1.2031,2)</f>
        <v>36.4</v>
      </c>
      <c r="AH769" s="467"/>
      <c r="AI769" s="467"/>
      <c r="AJ769" s="468"/>
      <c r="AK769" s="737">
        <v>1.3480000000000001</v>
      </c>
      <c r="AL769" s="738"/>
      <c r="AM769" s="738"/>
      <c r="AN769" s="739"/>
      <c r="AO769" s="740">
        <f>ROUND(AG769*AK769,2)</f>
        <v>49.07</v>
      </c>
      <c r="AP769" s="741"/>
      <c r="AQ769" s="741"/>
      <c r="AR769" s="742"/>
    </row>
    <row r="770" spans="3:44" ht="18" customHeight="1">
      <c r="C770" s="758" t="s">
        <v>710</v>
      </c>
      <c r="D770" s="759"/>
      <c r="E770" s="760"/>
      <c r="F770" s="796" t="s">
        <v>369</v>
      </c>
      <c r="G770" s="797"/>
      <c r="H770" s="797"/>
      <c r="I770" s="797"/>
      <c r="J770" s="797"/>
      <c r="K770" s="797"/>
      <c r="L770" s="797"/>
      <c r="M770" s="797"/>
      <c r="N770" s="797"/>
      <c r="O770" s="797"/>
      <c r="P770" s="797"/>
      <c r="Q770" s="797"/>
      <c r="R770" s="797"/>
      <c r="S770" s="797"/>
      <c r="T770" s="797"/>
      <c r="U770" s="797"/>
      <c r="V770" s="797"/>
      <c r="W770" s="797"/>
      <c r="X770" s="797"/>
      <c r="Y770" s="797"/>
      <c r="Z770" s="797"/>
      <c r="AA770" s="797"/>
      <c r="AB770" s="798"/>
      <c r="AC770" s="799" t="s">
        <v>245</v>
      </c>
      <c r="AD770" s="800"/>
      <c r="AE770" s="800"/>
      <c r="AF770" s="801"/>
      <c r="AG770" s="466">
        <f>TRUNC(34.23/1.2031,2)</f>
        <v>28.45</v>
      </c>
      <c r="AH770" s="467"/>
      <c r="AI770" s="467"/>
      <c r="AJ770" s="468"/>
      <c r="AK770" s="737">
        <v>8.25</v>
      </c>
      <c r="AL770" s="738"/>
      <c r="AM770" s="738"/>
      <c r="AN770" s="739"/>
      <c r="AO770" s="740">
        <f>ROUND(AG770*AK770,2)</f>
        <v>234.71</v>
      </c>
      <c r="AP770" s="741"/>
      <c r="AQ770" s="741"/>
      <c r="AR770" s="742"/>
    </row>
    <row r="771" spans="3:44" ht="18" customHeight="1">
      <c r="C771" s="758" t="s">
        <v>858</v>
      </c>
      <c r="D771" s="759"/>
      <c r="E771" s="760"/>
      <c r="F771" s="796" t="s">
        <v>455</v>
      </c>
      <c r="G771" s="797"/>
      <c r="H771" s="797"/>
      <c r="I771" s="797"/>
      <c r="J771" s="797"/>
      <c r="K771" s="797"/>
      <c r="L771" s="797"/>
      <c r="M771" s="797"/>
      <c r="N771" s="797"/>
      <c r="O771" s="797"/>
      <c r="P771" s="797"/>
      <c r="Q771" s="797"/>
      <c r="R771" s="797"/>
      <c r="S771" s="797"/>
      <c r="T771" s="797"/>
      <c r="U771" s="797"/>
      <c r="V771" s="797"/>
      <c r="W771" s="797"/>
      <c r="X771" s="797"/>
      <c r="Y771" s="797"/>
      <c r="Z771" s="797"/>
      <c r="AA771" s="797"/>
      <c r="AB771" s="798"/>
      <c r="AC771" s="799" t="s">
        <v>245</v>
      </c>
      <c r="AD771" s="800"/>
      <c r="AE771" s="800"/>
      <c r="AF771" s="801"/>
      <c r="AG771" s="466">
        <f>TRUNC(9.08/1.2031,2)</f>
        <v>7.54</v>
      </c>
      <c r="AH771" s="467"/>
      <c r="AI771" s="467"/>
      <c r="AJ771" s="468"/>
      <c r="AK771" s="737">
        <v>0.6</v>
      </c>
      <c r="AL771" s="738"/>
      <c r="AM771" s="738"/>
      <c r="AN771" s="739"/>
      <c r="AO771" s="740">
        <f>ROUND(AG771*AK771,2)</f>
        <v>4.5199999999999996</v>
      </c>
      <c r="AP771" s="741"/>
      <c r="AQ771" s="741"/>
      <c r="AR771" s="742"/>
    </row>
    <row r="772" spans="3:44" ht="18" customHeight="1">
      <c r="C772" s="758"/>
      <c r="D772" s="759"/>
      <c r="E772" s="760"/>
      <c r="F772" s="796"/>
      <c r="G772" s="797"/>
      <c r="H772" s="797"/>
      <c r="I772" s="797"/>
      <c r="J772" s="797"/>
      <c r="K772" s="797"/>
      <c r="L772" s="797"/>
      <c r="M772" s="797"/>
      <c r="N772" s="797"/>
      <c r="O772" s="797"/>
      <c r="P772" s="797"/>
      <c r="Q772" s="797"/>
      <c r="R772" s="797"/>
      <c r="S772" s="797"/>
      <c r="T772" s="797"/>
      <c r="U772" s="797"/>
      <c r="V772" s="797"/>
      <c r="W772" s="797"/>
      <c r="X772" s="797"/>
      <c r="Y772" s="797"/>
      <c r="Z772" s="797"/>
      <c r="AA772" s="797"/>
      <c r="AB772" s="798"/>
      <c r="AC772" s="799"/>
      <c r="AD772" s="800"/>
      <c r="AE772" s="800"/>
      <c r="AF772" s="801"/>
      <c r="AG772" s="466"/>
      <c r="AH772" s="467"/>
      <c r="AI772" s="467"/>
      <c r="AJ772" s="468"/>
      <c r="AK772" s="737"/>
      <c r="AL772" s="738"/>
      <c r="AM772" s="738"/>
      <c r="AN772" s="739"/>
      <c r="AO772" s="740"/>
      <c r="AP772" s="741"/>
      <c r="AQ772" s="741"/>
      <c r="AR772" s="742"/>
    </row>
    <row r="773" spans="3:44" ht="18" customHeight="1">
      <c r="C773" s="758"/>
      <c r="D773" s="759"/>
      <c r="E773" s="760"/>
      <c r="F773" s="796"/>
      <c r="G773" s="797"/>
      <c r="H773" s="797"/>
      <c r="I773" s="797"/>
      <c r="J773" s="797"/>
      <c r="K773" s="797"/>
      <c r="L773" s="797"/>
      <c r="M773" s="797"/>
      <c r="N773" s="797"/>
      <c r="O773" s="797"/>
      <c r="P773" s="797"/>
      <c r="Q773" s="797"/>
      <c r="R773" s="797"/>
      <c r="S773" s="797"/>
      <c r="T773" s="797"/>
      <c r="U773" s="797"/>
      <c r="V773" s="797"/>
      <c r="W773" s="797"/>
      <c r="X773" s="797"/>
      <c r="Y773" s="797"/>
      <c r="Z773" s="797"/>
      <c r="AA773" s="797"/>
      <c r="AB773" s="798"/>
      <c r="AC773" s="799"/>
      <c r="AD773" s="800"/>
      <c r="AE773" s="800"/>
      <c r="AF773" s="801"/>
      <c r="AG773" s="466"/>
      <c r="AH773" s="467"/>
      <c r="AI773" s="467"/>
      <c r="AJ773" s="468"/>
      <c r="AK773" s="737"/>
      <c r="AL773" s="738"/>
      <c r="AM773" s="738"/>
      <c r="AN773" s="739"/>
      <c r="AO773" s="740"/>
      <c r="AP773" s="741"/>
      <c r="AQ773" s="741"/>
      <c r="AR773" s="742"/>
    </row>
    <row r="774" spans="3:44" ht="18" customHeight="1">
      <c r="C774" s="758"/>
      <c r="D774" s="759"/>
      <c r="E774" s="760"/>
      <c r="F774" s="796"/>
      <c r="G774" s="797"/>
      <c r="H774" s="797"/>
      <c r="I774" s="797"/>
      <c r="J774" s="797"/>
      <c r="K774" s="797"/>
      <c r="L774" s="797"/>
      <c r="M774" s="797"/>
      <c r="N774" s="797"/>
      <c r="O774" s="797"/>
      <c r="P774" s="797"/>
      <c r="Q774" s="797"/>
      <c r="R774" s="797"/>
      <c r="S774" s="797"/>
      <c r="T774" s="797"/>
      <c r="U774" s="797"/>
      <c r="V774" s="797"/>
      <c r="W774" s="797"/>
      <c r="X774" s="797"/>
      <c r="Y774" s="797"/>
      <c r="Z774" s="797"/>
      <c r="AA774" s="797"/>
      <c r="AB774" s="798"/>
      <c r="AC774" s="799"/>
      <c r="AD774" s="800"/>
      <c r="AE774" s="800"/>
      <c r="AF774" s="801"/>
      <c r="AG774" s="466"/>
      <c r="AH774" s="467"/>
      <c r="AI774" s="467"/>
      <c r="AJ774" s="468"/>
      <c r="AK774" s="737"/>
      <c r="AL774" s="738"/>
      <c r="AM774" s="738"/>
      <c r="AN774" s="739"/>
      <c r="AO774" s="740"/>
      <c r="AP774" s="741"/>
      <c r="AQ774" s="741"/>
      <c r="AR774" s="742"/>
    </row>
    <row r="775" spans="3:44" ht="18" customHeight="1">
      <c r="C775" s="743"/>
      <c r="D775" s="744"/>
      <c r="E775" s="744"/>
      <c r="F775" s="744"/>
      <c r="G775" s="744"/>
      <c r="H775" s="744"/>
      <c r="I775" s="744"/>
      <c r="J775" s="744"/>
      <c r="K775" s="744"/>
      <c r="L775" s="744"/>
      <c r="M775" s="744"/>
      <c r="N775" s="744"/>
      <c r="O775" s="744"/>
      <c r="P775" s="744"/>
      <c r="Q775" s="744"/>
      <c r="R775" s="744"/>
      <c r="S775" s="744"/>
      <c r="T775" s="744"/>
      <c r="U775" s="744"/>
      <c r="V775" s="744"/>
      <c r="W775" s="744"/>
      <c r="X775" s="744"/>
      <c r="Y775" s="745" t="s">
        <v>88</v>
      </c>
      <c r="Z775" s="745"/>
      <c r="AA775" s="745"/>
      <c r="AB775" s="745"/>
      <c r="AC775" s="745"/>
      <c r="AD775" s="745"/>
      <c r="AE775" s="745"/>
      <c r="AF775" s="745"/>
      <c r="AG775" s="745"/>
      <c r="AH775" s="745"/>
      <c r="AI775" s="745"/>
      <c r="AJ775" s="745"/>
      <c r="AK775" s="745"/>
      <c r="AL775" s="745"/>
      <c r="AM775" s="745"/>
      <c r="AN775" s="430"/>
      <c r="AO775" s="477">
        <f>SUM(AO767:AR774)</f>
        <v>3147.53</v>
      </c>
      <c r="AP775" s="746"/>
      <c r="AQ775" s="746"/>
      <c r="AR775" s="747"/>
    </row>
    <row r="777" spans="3:44" ht="18" customHeight="1">
      <c r="C777" s="794" t="s">
        <v>43</v>
      </c>
      <c r="D777" s="774"/>
      <c r="E777" s="775"/>
      <c r="F777" s="773" t="s">
        <v>89</v>
      </c>
      <c r="G777" s="774"/>
      <c r="H777" s="774"/>
      <c r="I777" s="774"/>
      <c r="J777" s="774"/>
      <c r="K777" s="774"/>
      <c r="L777" s="774"/>
      <c r="M777" s="774"/>
      <c r="N777" s="774"/>
      <c r="O777" s="774"/>
      <c r="P777" s="774"/>
      <c r="Q777" s="774"/>
      <c r="R777" s="775"/>
      <c r="S777" s="773" t="s">
        <v>90</v>
      </c>
      <c r="T777" s="774"/>
      <c r="U777" s="775"/>
      <c r="V777" s="773" t="s">
        <v>91</v>
      </c>
      <c r="W777" s="774"/>
      <c r="X777" s="775"/>
      <c r="Y777" s="773" t="s">
        <v>92</v>
      </c>
      <c r="Z777" s="774"/>
      <c r="AA777" s="774"/>
      <c r="AB777" s="774"/>
      <c r="AC777" s="774"/>
      <c r="AD777" s="775"/>
      <c r="AE777" s="773" t="s">
        <v>93</v>
      </c>
      <c r="AF777" s="774"/>
      <c r="AG777" s="775"/>
      <c r="AH777" s="773" t="s">
        <v>94</v>
      </c>
      <c r="AI777" s="774"/>
      <c r="AJ777" s="775"/>
      <c r="AK777" s="773" t="s">
        <v>86</v>
      </c>
      <c r="AL777" s="774"/>
      <c r="AM777" s="774"/>
      <c r="AN777" s="775"/>
      <c r="AO777" s="773" t="s">
        <v>87</v>
      </c>
      <c r="AP777" s="774"/>
      <c r="AQ777" s="774"/>
      <c r="AR777" s="779"/>
    </row>
    <row r="778" spans="3:44" ht="18" customHeight="1">
      <c r="C778" s="795"/>
      <c r="D778" s="777"/>
      <c r="E778" s="778"/>
      <c r="F778" s="776"/>
      <c r="G778" s="777"/>
      <c r="H778" s="777"/>
      <c r="I778" s="777"/>
      <c r="J778" s="777"/>
      <c r="K778" s="777"/>
      <c r="L778" s="777"/>
      <c r="M778" s="777"/>
      <c r="N778" s="777"/>
      <c r="O778" s="777"/>
      <c r="P778" s="777"/>
      <c r="Q778" s="777"/>
      <c r="R778" s="778"/>
      <c r="S778" s="776"/>
      <c r="T778" s="777"/>
      <c r="U778" s="778"/>
      <c r="V778" s="776"/>
      <c r="W778" s="777"/>
      <c r="X778" s="778"/>
      <c r="Y778" s="776"/>
      <c r="Z778" s="777"/>
      <c r="AA778" s="777"/>
      <c r="AB778" s="777"/>
      <c r="AC778" s="777"/>
      <c r="AD778" s="778"/>
      <c r="AE778" s="776"/>
      <c r="AF778" s="777"/>
      <c r="AG778" s="778"/>
      <c r="AH778" s="776"/>
      <c r="AI778" s="777"/>
      <c r="AJ778" s="778"/>
      <c r="AK778" s="776"/>
      <c r="AL778" s="777"/>
      <c r="AM778" s="777"/>
      <c r="AN778" s="778"/>
      <c r="AO778" s="776"/>
      <c r="AP778" s="777"/>
      <c r="AQ778" s="777"/>
      <c r="AR778" s="780"/>
    </row>
    <row r="779" spans="3:44" ht="18" customHeight="1">
      <c r="C779" s="781"/>
      <c r="D779" s="782"/>
      <c r="E779" s="783"/>
      <c r="F779" s="457"/>
      <c r="G779" s="457"/>
      <c r="H779" s="457"/>
      <c r="I779" s="457"/>
      <c r="J779" s="457"/>
      <c r="K779" s="457"/>
      <c r="L779" s="457"/>
      <c r="M779" s="457"/>
      <c r="N779" s="457"/>
      <c r="O779" s="457"/>
      <c r="P779" s="457"/>
      <c r="Q779" s="457"/>
      <c r="R779" s="457"/>
      <c r="S779" s="784"/>
      <c r="T779" s="785"/>
      <c r="U779" s="786"/>
      <c r="V779" s="784"/>
      <c r="W779" s="785"/>
      <c r="X779" s="786"/>
      <c r="Y779" s="787"/>
      <c r="Z779" s="788"/>
      <c r="AA779" s="788"/>
      <c r="AB779" s="788"/>
      <c r="AC779" s="788"/>
      <c r="AD779" s="789"/>
      <c r="AE779" s="449"/>
      <c r="AF779" s="449"/>
      <c r="AG779" s="449"/>
      <c r="AH779" s="770"/>
      <c r="AI779" s="771"/>
      <c r="AJ779" s="790"/>
      <c r="AK779" s="791"/>
      <c r="AL779" s="792"/>
      <c r="AM779" s="792"/>
      <c r="AN779" s="793"/>
      <c r="AO779" s="770"/>
      <c r="AP779" s="771"/>
      <c r="AQ779" s="771"/>
      <c r="AR779" s="772"/>
    </row>
    <row r="780" spans="3:44" ht="18" customHeight="1">
      <c r="C780" s="758"/>
      <c r="D780" s="759"/>
      <c r="E780" s="760"/>
      <c r="F780" s="761"/>
      <c r="G780" s="762"/>
      <c r="H780" s="762"/>
      <c r="I780" s="762"/>
      <c r="J780" s="762"/>
      <c r="K780" s="762"/>
      <c r="L780" s="762"/>
      <c r="M780" s="762"/>
      <c r="N780" s="762"/>
      <c r="O780" s="762"/>
      <c r="P780" s="762"/>
      <c r="Q780" s="762"/>
      <c r="R780" s="763"/>
      <c r="S780" s="764"/>
      <c r="T780" s="765"/>
      <c r="U780" s="766"/>
      <c r="V780" s="764"/>
      <c r="W780" s="765"/>
      <c r="X780" s="766"/>
      <c r="Y780" s="767"/>
      <c r="Z780" s="768"/>
      <c r="AA780" s="768"/>
      <c r="AB780" s="768"/>
      <c r="AC780" s="768"/>
      <c r="AD780" s="769"/>
      <c r="AE780" s="740"/>
      <c r="AF780" s="741"/>
      <c r="AG780" s="757"/>
      <c r="AH780" s="740"/>
      <c r="AI780" s="741"/>
      <c r="AJ780" s="757"/>
      <c r="AK780" s="737"/>
      <c r="AL780" s="738"/>
      <c r="AM780" s="738"/>
      <c r="AN780" s="739"/>
      <c r="AO780" s="740">
        <f t="shared" ref="AO780:AO786" si="11">ROUND(AE780*AH780*AK780,2)</f>
        <v>0</v>
      </c>
      <c r="AP780" s="741"/>
      <c r="AQ780" s="741"/>
      <c r="AR780" s="742"/>
    </row>
    <row r="781" spans="3:44" ht="18" customHeight="1">
      <c r="C781" s="758"/>
      <c r="D781" s="759"/>
      <c r="E781" s="760"/>
      <c r="F781" s="761"/>
      <c r="G781" s="762"/>
      <c r="H781" s="762"/>
      <c r="I781" s="762"/>
      <c r="J781" s="762"/>
      <c r="K781" s="762"/>
      <c r="L781" s="762"/>
      <c r="M781" s="762"/>
      <c r="N781" s="762"/>
      <c r="O781" s="762"/>
      <c r="P781" s="762"/>
      <c r="Q781" s="762"/>
      <c r="R781" s="763"/>
      <c r="S781" s="764"/>
      <c r="T781" s="765"/>
      <c r="U781" s="766"/>
      <c r="V781" s="764"/>
      <c r="W781" s="765"/>
      <c r="X781" s="766"/>
      <c r="Y781" s="767"/>
      <c r="Z781" s="768"/>
      <c r="AA781" s="768"/>
      <c r="AB781" s="768"/>
      <c r="AC781" s="768"/>
      <c r="AD781" s="769"/>
      <c r="AE781" s="740"/>
      <c r="AF781" s="741"/>
      <c r="AG781" s="757"/>
      <c r="AH781" s="740"/>
      <c r="AI781" s="741"/>
      <c r="AJ781" s="757"/>
      <c r="AK781" s="737"/>
      <c r="AL781" s="738"/>
      <c r="AM781" s="738"/>
      <c r="AN781" s="739"/>
      <c r="AO781" s="740">
        <f t="shared" si="11"/>
        <v>0</v>
      </c>
      <c r="AP781" s="741"/>
      <c r="AQ781" s="741"/>
      <c r="AR781" s="742"/>
    </row>
    <row r="782" spans="3:44" ht="18" customHeight="1">
      <c r="C782" s="758"/>
      <c r="D782" s="759"/>
      <c r="E782" s="760"/>
      <c r="F782" s="761"/>
      <c r="G782" s="762"/>
      <c r="H782" s="762"/>
      <c r="I782" s="762"/>
      <c r="J782" s="762"/>
      <c r="K782" s="762"/>
      <c r="L782" s="762"/>
      <c r="M782" s="762"/>
      <c r="N782" s="762"/>
      <c r="O782" s="762"/>
      <c r="P782" s="762"/>
      <c r="Q782" s="762"/>
      <c r="R782" s="763"/>
      <c r="S782" s="764"/>
      <c r="T782" s="765"/>
      <c r="U782" s="766"/>
      <c r="V782" s="764"/>
      <c r="W782" s="765"/>
      <c r="X782" s="766"/>
      <c r="Y782" s="767"/>
      <c r="Z782" s="768"/>
      <c r="AA782" s="768"/>
      <c r="AB782" s="768"/>
      <c r="AC782" s="768"/>
      <c r="AD782" s="769"/>
      <c r="AE782" s="740"/>
      <c r="AF782" s="741"/>
      <c r="AG782" s="757"/>
      <c r="AH782" s="740"/>
      <c r="AI782" s="741"/>
      <c r="AJ782" s="757"/>
      <c r="AK782" s="737"/>
      <c r="AL782" s="738"/>
      <c r="AM782" s="738"/>
      <c r="AN782" s="739"/>
      <c r="AO782" s="740">
        <f t="shared" si="11"/>
        <v>0</v>
      </c>
      <c r="AP782" s="741"/>
      <c r="AQ782" s="741"/>
      <c r="AR782" s="742"/>
    </row>
    <row r="783" spans="3:44" ht="18" customHeight="1">
      <c r="C783" s="758"/>
      <c r="D783" s="759"/>
      <c r="E783" s="760"/>
      <c r="F783" s="761"/>
      <c r="G783" s="762"/>
      <c r="H783" s="762"/>
      <c r="I783" s="762"/>
      <c r="J783" s="762"/>
      <c r="K783" s="762"/>
      <c r="L783" s="762"/>
      <c r="M783" s="762"/>
      <c r="N783" s="762"/>
      <c r="O783" s="762"/>
      <c r="P783" s="762"/>
      <c r="Q783" s="762"/>
      <c r="R783" s="763"/>
      <c r="S783" s="764"/>
      <c r="T783" s="765"/>
      <c r="U783" s="766"/>
      <c r="V783" s="764"/>
      <c r="W783" s="765"/>
      <c r="X783" s="766"/>
      <c r="Y783" s="767"/>
      <c r="Z783" s="768"/>
      <c r="AA783" s="768"/>
      <c r="AB783" s="768"/>
      <c r="AC783" s="768"/>
      <c r="AD783" s="769"/>
      <c r="AE783" s="740"/>
      <c r="AF783" s="741"/>
      <c r="AG783" s="757"/>
      <c r="AH783" s="740"/>
      <c r="AI783" s="741"/>
      <c r="AJ783" s="757"/>
      <c r="AK783" s="737"/>
      <c r="AL783" s="738"/>
      <c r="AM783" s="738"/>
      <c r="AN783" s="739"/>
      <c r="AO783" s="740">
        <f t="shared" si="11"/>
        <v>0</v>
      </c>
      <c r="AP783" s="741"/>
      <c r="AQ783" s="741"/>
      <c r="AR783" s="742"/>
    </row>
    <row r="784" spans="3:44" ht="18" customHeight="1">
      <c r="C784" s="758"/>
      <c r="D784" s="759"/>
      <c r="E784" s="760"/>
      <c r="F784" s="761"/>
      <c r="G784" s="762"/>
      <c r="H784" s="762"/>
      <c r="I784" s="762"/>
      <c r="J784" s="762"/>
      <c r="K784" s="762"/>
      <c r="L784" s="762"/>
      <c r="M784" s="762"/>
      <c r="N784" s="762"/>
      <c r="O784" s="762"/>
      <c r="P784" s="762"/>
      <c r="Q784" s="762"/>
      <c r="R784" s="763"/>
      <c r="S784" s="764"/>
      <c r="T784" s="765"/>
      <c r="U784" s="766"/>
      <c r="V784" s="764"/>
      <c r="W784" s="765"/>
      <c r="X784" s="766"/>
      <c r="Y784" s="767"/>
      <c r="Z784" s="768"/>
      <c r="AA784" s="768"/>
      <c r="AB784" s="768"/>
      <c r="AC784" s="768"/>
      <c r="AD784" s="769"/>
      <c r="AE784" s="740"/>
      <c r="AF784" s="741"/>
      <c r="AG784" s="757"/>
      <c r="AH784" s="740"/>
      <c r="AI784" s="741"/>
      <c r="AJ784" s="757"/>
      <c r="AK784" s="737"/>
      <c r="AL784" s="738"/>
      <c r="AM784" s="738"/>
      <c r="AN784" s="739"/>
      <c r="AO784" s="740">
        <f t="shared" si="11"/>
        <v>0</v>
      </c>
      <c r="AP784" s="741"/>
      <c r="AQ784" s="741"/>
      <c r="AR784" s="742"/>
    </row>
    <row r="785" spans="1:44" ht="18" customHeight="1">
      <c r="C785" s="758"/>
      <c r="D785" s="759"/>
      <c r="E785" s="760"/>
      <c r="F785" s="761"/>
      <c r="G785" s="762"/>
      <c r="H785" s="762"/>
      <c r="I785" s="762"/>
      <c r="J785" s="762"/>
      <c r="K785" s="762"/>
      <c r="L785" s="762"/>
      <c r="M785" s="762"/>
      <c r="N785" s="762"/>
      <c r="O785" s="762"/>
      <c r="P785" s="762"/>
      <c r="Q785" s="762"/>
      <c r="R785" s="763"/>
      <c r="S785" s="764"/>
      <c r="T785" s="765"/>
      <c r="U785" s="766"/>
      <c r="V785" s="764"/>
      <c r="W785" s="765"/>
      <c r="X785" s="766"/>
      <c r="Y785" s="767"/>
      <c r="Z785" s="768"/>
      <c r="AA785" s="768"/>
      <c r="AB785" s="768"/>
      <c r="AC785" s="768"/>
      <c r="AD785" s="769"/>
      <c r="AE785" s="740"/>
      <c r="AF785" s="741"/>
      <c r="AG785" s="757"/>
      <c r="AH785" s="740"/>
      <c r="AI785" s="741"/>
      <c r="AJ785" s="757"/>
      <c r="AK785" s="737"/>
      <c r="AL785" s="738"/>
      <c r="AM785" s="738"/>
      <c r="AN785" s="739"/>
      <c r="AO785" s="740">
        <f t="shared" si="11"/>
        <v>0</v>
      </c>
      <c r="AP785" s="741"/>
      <c r="AQ785" s="741"/>
      <c r="AR785" s="742"/>
    </row>
    <row r="786" spans="1:44" ht="18" customHeight="1">
      <c r="C786" s="758"/>
      <c r="D786" s="759"/>
      <c r="E786" s="760"/>
      <c r="F786" s="761"/>
      <c r="G786" s="762"/>
      <c r="H786" s="762"/>
      <c r="I786" s="762"/>
      <c r="J786" s="762"/>
      <c r="K786" s="762"/>
      <c r="L786" s="762"/>
      <c r="M786" s="762"/>
      <c r="N786" s="762"/>
      <c r="O786" s="762"/>
      <c r="P786" s="762"/>
      <c r="Q786" s="762"/>
      <c r="R786" s="763"/>
      <c r="S786" s="764"/>
      <c r="T786" s="765"/>
      <c r="U786" s="766"/>
      <c r="V786" s="764"/>
      <c r="W786" s="765"/>
      <c r="X786" s="766"/>
      <c r="Y786" s="767"/>
      <c r="Z786" s="768"/>
      <c r="AA786" s="768"/>
      <c r="AB786" s="768"/>
      <c r="AC786" s="768"/>
      <c r="AD786" s="769"/>
      <c r="AE786" s="740"/>
      <c r="AF786" s="741"/>
      <c r="AG786" s="757"/>
      <c r="AH786" s="740"/>
      <c r="AI786" s="741"/>
      <c r="AJ786" s="757"/>
      <c r="AK786" s="737"/>
      <c r="AL786" s="738"/>
      <c r="AM786" s="738"/>
      <c r="AN786" s="739"/>
      <c r="AO786" s="740">
        <f t="shared" si="11"/>
        <v>0</v>
      </c>
      <c r="AP786" s="741"/>
      <c r="AQ786" s="741"/>
      <c r="AR786" s="742"/>
    </row>
    <row r="787" spans="1:44" ht="18" customHeight="1">
      <c r="C787" s="743"/>
      <c r="D787" s="744"/>
      <c r="E787" s="744"/>
      <c r="F787" s="744"/>
      <c r="G787" s="744"/>
      <c r="H787" s="744"/>
      <c r="I787" s="744"/>
      <c r="J787" s="744"/>
      <c r="K787" s="744"/>
      <c r="L787" s="744"/>
      <c r="M787" s="744"/>
      <c r="N787" s="744"/>
      <c r="O787" s="744"/>
      <c r="P787" s="744"/>
      <c r="Q787" s="744"/>
      <c r="R787" s="744"/>
      <c r="S787" s="744"/>
      <c r="T787" s="744"/>
      <c r="U787" s="744"/>
      <c r="V787" s="744"/>
      <c r="W787" s="744"/>
      <c r="X787" s="744"/>
      <c r="Y787" s="745" t="s">
        <v>95</v>
      </c>
      <c r="Z787" s="745"/>
      <c r="AA787" s="745"/>
      <c r="AB787" s="745"/>
      <c r="AC787" s="745"/>
      <c r="AD787" s="745"/>
      <c r="AE787" s="745"/>
      <c r="AF787" s="745"/>
      <c r="AG787" s="745"/>
      <c r="AH787" s="745"/>
      <c r="AI787" s="745"/>
      <c r="AJ787" s="745"/>
      <c r="AK787" s="745"/>
      <c r="AL787" s="745"/>
      <c r="AM787" s="745"/>
      <c r="AN787" s="430"/>
      <c r="AO787" s="477">
        <f>SUM(AO779:AR786)</f>
        <v>0</v>
      </c>
      <c r="AP787" s="746"/>
      <c r="AQ787" s="746"/>
      <c r="AR787" s="747"/>
    </row>
    <row r="789" spans="1:44" ht="18" customHeight="1">
      <c r="C789" s="434"/>
      <c r="D789" s="434"/>
      <c r="E789" s="434"/>
      <c r="F789" s="434"/>
      <c r="G789" s="434"/>
      <c r="H789" s="434"/>
      <c r="I789" s="434"/>
      <c r="J789" s="434"/>
      <c r="K789" s="434"/>
      <c r="L789" s="434"/>
      <c r="M789" s="434"/>
      <c r="N789" s="434"/>
      <c r="O789" s="434"/>
      <c r="P789" s="434"/>
      <c r="Q789" s="434"/>
      <c r="R789" s="434"/>
      <c r="S789" s="434"/>
      <c r="T789" s="434"/>
      <c r="U789" s="434"/>
      <c r="V789" s="434"/>
      <c r="W789" s="434"/>
      <c r="X789" s="748"/>
      <c r="Y789" s="749" t="s">
        <v>96</v>
      </c>
      <c r="Z789" s="750"/>
      <c r="AA789" s="750"/>
      <c r="AB789" s="750"/>
      <c r="AC789" s="750"/>
      <c r="AD789" s="750"/>
      <c r="AE789" s="750"/>
      <c r="AF789" s="750"/>
      <c r="AG789" s="750"/>
      <c r="AH789" s="750"/>
      <c r="AI789" s="750"/>
      <c r="AJ789" s="750"/>
      <c r="AK789" s="750"/>
      <c r="AL789" s="750"/>
      <c r="AM789" s="750"/>
      <c r="AN789" s="751"/>
      <c r="AO789" s="752">
        <f>AO763+AO775+AO787</f>
        <v>3557.48</v>
      </c>
      <c r="AP789" s="753"/>
      <c r="AQ789" s="753"/>
      <c r="AR789" s="754"/>
    </row>
    <row r="790" spans="1:44" ht="18" customHeight="1">
      <c r="C790" s="434"/>
      <c r="D790" s="434"/>
      <c r="E790" s="434"/>
      <c r="F790" s="434"/>
      <c r="G790" s="434"/>
      <c r="H790" s="434"/>
      <c r="I790" s="434"/>
      <c r="J790" s="434"/>
      <c r="K790" s="434"/>
      <c r="L790" s="434"/>
      <c r="M790" s="434"/>
      <c r="N790" s="434"/>
      <c r="O790" s="434"/>
      <c r="P790" s="434"/>
      <c r="Q790" s="434"/>
      <c r="R790" s="434"/>
      <c r="S790" s="434"/>
      <c r="T790" s="434"/>
      <c r="U790" s="434"/>
      <c r="V790" s="434"/>
      <c r="W790" s="434"/>
      <c r="X790" s="748"/>
      <c r="Y790" s="755" t="s">
        <v>97</v>
      </c>
      <c r="Z790" s="756"/>
      <c r="AA790" s="756"/>
      <c r="AB790" s="756"/>
      <c r="AC790" s="756"/>
      <c r="AD790" s="756"/>
      <c r="AE790" s="756"/>
      <c r="AF790" s="756"/>
      <c r="AG790" s="756"/>
      <c r="AH790" s="442">
        <v>0.2031</v>
      </c>
      <c r="AI790" s="442"/>
      <c r="AJ790" s="442"/>
      <c r="AK790" s="442"/>
      <c r="AL790" s="442"/>
      <c r="AM790" s="442"/>
      <c r="AN790" s="443"/>
      <c r="AO790" s="728">
        <f>ROUND(AO789*AH790,2)</f>
        <v>722.52</v>
      </c>
      <c r="AP790" s="729"/>
      <c r="AQ790" s="729"/>
      <c r="AR790" s="730"/>
    </row>
    <row r="791" spans="1:44" ht="18" customHeight="1">
      <c r="A791" s="415" t="s">
        <v>440</v>
      </c>
      <c r="B791" s="415"/>
      <c r="C791" s="434"/>
      <c r="D791" s="434"/>
      <c r="E791" s="434"/>
      <c r="F791" s="434"/>
      <c r="G791" s="434"/>
      <c r="H791" s="434"/>
      <c r="I791" s="434"/>
      <c r="J791" s="434"/>
      <c r="K791" s="434"/>
      <c r="L791" s="434"/>
      <c r="M791" s="434"/>
      <c r="N791" s="434"/>
      <c r="O791" s="434"/>
      <c r="P791" s="434"/>
      <c r="Q791" s="434"/>
      <c r="R791" s="434"/>
      <c r="S791" s="434"/>
      <c r="T791" s="434"/>
      <c r="U791" s="434"/>
      <c r="V791" s="434"/>
      <c r="W791" s="434"/>
      <c r="X791" s="748"/>
      <c r="Y791" s="731" t="s">
        <v>98</v>
      </c>
      <c r="Z791" s="732"/>
      <c r="AA791" s="732"/>
      <c r="AB791" s="732"/>
      <c r="AC791" s="732"/>
      <c r="AD791" s="732"/>
      <c r="AE791" s="732"/>
      <c r="AF791" s="732"/>
      <c r="AG791" s="732"/>
      <c r="AH791" s="732"/>
      <c r="AI791" s="732"/>
      <c r="AJ791" s="732"/>
      <c r="AK791" s="732"/>
      <c r="AL791" s="732"/>
      <c r="AM791" s="732"/>
      <c r="AN791" s="733"/>
      <c r="AO791" s="734">
        <f>SUM(AO789:AR790)</f>
        <v>4280</v>
      </c>
      <c r="AP791" s="735"/>
      <c r="AQ791" s="735"/>
      <c r="AR791" s="736"/>
    </row>
    <row r="793" spans="1:44" ht="18" customHeight="1">
      <c r="C793" s="420" t="s">
        <v>99</v>
      </c>
      <c r="D793" s="421"/>
      <c r="E793" s="421"/>
      <c r="F793" s="421"/>
      <c r="G793" s="421"/>
      <c r="H793" s="421"/>
      <c r="I793" s="422"/>
      <c r="J793" s="422"/>
      <c r="K793" s="422"/>
      <c r="L793" s="422"/>
      <c r="M793" s="422"/>
      <c r="N793" s="422"/>
      <c r="O793" s="422"/>
      <c r="P793" s="422"/>
      <c r="Q793" s="422"/>
      <c r="R793" s="422"/>
      <c r="S793" s="422"/>
      <c r="T793" s="422"/>
      <c r="U793" s="422"/>
      <c r="V793" s="422"/>
      <c r="W793" s="422"/>
      <c r="X793" s="422"/>
      <c r="Y793" s="422"/>
      <c r="Z793" s="422"/>
      <c r="AA793" s="422"/>
      <c r="AB793" s="422"/>
      <c r="AC793" s="422"/>
      <c r="AD793" s="422"/>
      <c r="AE793" s="422"/>
      <c r="AF793" s="422"/>
      <c r="AG793" s="422"/>
      <c r="AH793" s="422"/>
      <c r="AI793" s="422"/>
      <c r="AJ793" s="422"/>
      <c r="AK793" s="422"/>
      <c r="AL793" s="422"/>
      <c r="AM793" s="422"/>
      <c r="AN793" s="422"/>
      <c r="AO793" s="422"/>
      <c r="AP793" s="422"/>
      <c r="AQ793" s="422"/>
      <c r="AR793" s="423"/>
    </row>
    <row r="794" spans="1:44" ht="18" customHeight="1">
      <c r="C794" s="411"/>
      <c r="D794" s="412"/>
      <c r="E794" s="412"/>
      <c r="F794" s="412"/>
      <c r="G794" s="412"/>
      <c r="H794" s="412"/>
      <c r="I794" s="409"/>
      <c r="J794" s="409"/>
      <c r="K794" s="409"/>
      <c r="L794" s="409"/>
      <c r="M794" s="409"/>
      <c r="N794" s="409"/>
      <c r="O794" s="409"/>
      <c r="P794" s="409"/>
      <c r="Q794" s="409"/>
      <c r="R794" s="409"/>
      <c r="S794" s="409"/>
      <c r="T794" s="409"/>
      <c r="U794" s="409"/>
      <c r="V794" s="409"/>
      <c r="W794" s="409"/>
      <c r="X794" s="409"/>
      <c r="Y794" s="409"/>
      <c r="Z794" s="409"/>
      <c r="AA794" s="409"/>
      <c r="AB794" s="409"/>
      <c r="AC794" s="409"/>
      <c r="AD794" s="409"/>
      <c r="AE794" s="409"/>
      <c r="AF794" s="409"/>
      <c r="AG794" s="409"/>
      <c r="AH794" s="409"/>
      <c r="AI794" s="409"/>
      <c r="AJ794" s="409"/>
      <c r="AK794" s="409"/>
      <c r="AL794" s="409"/>
      <c r="AM794" s="409"/>
      <c r="AN794" s="409"/>
      <c r="AO794" s="409"/>
      <c r="AP794" s="409"/>
      <c r="AQ794" s="409"/>
      <c r="AR794" s="410"/>
    </row>
    <row r="795" spans="1:44" ht="18" customHeight="1">
      <c r="C795" s="411"/>
      <c r="D795" s="412"/>
      <c r="E795" s="412"/>
      <c r="F795" s="412"/>
      <c r="G795" s="412"/>
      <c r="H795" s="412"/>
      <c r="I795" s="409"/>
      <c r="J795" s="409"/>
      <c r="K795" s="409"/>
      <c r="L795" s="409"/>
      <c r="M795" s="409"/>
      <c r="N795" s="409"/>
      <c r="O795" s="409"/>
      <c r="P795" s="409"/>
      <c r="Q795" s="409"/>
      <c r="R795" s="409"/>
      <c r="S795" s="409"/>
      <c r="T795" s="409"/>
      <c r="U795" s="409"/>
      <c r="V795" s="409"/>
      <c r="W795" s="409"/>
      <c r="X795" s="409"/>
      <c r="Y795" s="409"/>
      <c r="Z795" s="409"/>
      <c r="AA795" s="409"/>
      <c r="AB795" s="409"/>
      <c r="AC795" s="409"/>
      <c r="AD795" s="409"/>
      <c r="AE795" s="409"/>
      <c r="AF795" s="409"/>
      <c r="AG795" s="409"/>
      <c r="AH795" s="409"/>
      <c r="AI795" s="409"/>
      <c r="AJ795" s="409"/>
      <c r="AK795" s="409"/>
      <c r="AL795" s="409"/>
      <c r="AM795" s="409"/>
      <c r="AN795" s="409"/>
      <c r="AO795" s="409"/>
      <c r="AP795" s="409"/>
      <c r="AQ795" s="409"/>
      <c r="AR795" s="410"/>
    </row>
    <row r="796" spans="1:44" ht="18" customHeight="1">
      <c r="C796" s="411"/>
      <c r="D796" s="412"/>
      <c r="E796" s="412"/>
      <c r="F796" s="412"/>
      <c r="G796" s="412"/>
      <c r="H796" s="412"/>
      <c r="I796" s="409"/>
      <c r="J796" s="409"/>
      <c r="K796" s="409"/>
      <c r="L796" s="409"/>
      <c r="M796" s="409"/>
      <c r="N796" s="409"/>
      <c r="O796" s="409"/>
      <c r="P796" s="409"/>
      <c r="Q796" s="409"/>
      <c r="R796" s="409"/>
      <c r="S796" s="409"/>
      <c r="T796" s="409"/>
      <c r="U796" s="409"/>
      <c r="V796" s="409"/>
      <c r="W796" s="409"/>
      <c r="X796" s="409"/>
      <c r="Y796" s="409"/>
      <c r="Z796" s="409"/>
      <c r="AA796" s="409"/>
      <c r="AB796" s="409"/>
      <c r="AC796" s="409"/>
      <c r="AD796" s="409"/>
      <c r="AE796" s="409"/>
      <c r="AF796" s="409"/>
      <c r="AG796" s="409"/>
      <c r="AH796" s="409"/>
      <c r="AI796" s="409"/>
      <c r="AJ796" s="409"/>
      <c r="AK796" s="409"/>
      <c r="AL796" s="409"/>
      <c r="AM796" s="409"/>
      <c r="AN796" s="409"/>
      <c r="AO796" s="409"/>
      <c r="AP796" s="409"/>
      <c r="AQ796" s="409"/>
      <c r="AR796" s="410"/>
    </row>
    <row r="797" spans="1:44" ht="18" customHeight="1">
      <c r="C797" s="411"/>
      <c r="D797" s="412"/>
      <c r="E797" s="412"/>
      <c r="F797" s="412"/>
      <c r="G797" s="412"/>
      <c r="H797" s="412"/>
      <c r="I797" s="409"/>
      <c r="J797" s="409"/>
      <c r="K797" s="409"/>
      <c r="L797" s="409"/>
      <c r="M797" s="409"/>
      <c r="N797" s="409"/>
      <c r="O797" s="409"/>
      <c r="P797" s="409"/>
      <c r="Q797" s="409"/>
      <c r="R797" s="409"/>
      <c r="S797" s="409"/>
      <c r="T797" s="409"/>
      <c r="U797" s="409"/>
      <c r="V797" s="409"/>
      <c r="W797" s="409"/>
      <c r="X797" s="409"/>
      <c r="Y797" s="409"/>
      <c r="Z797" s="409"/>
      <c r="AA797" s="409"/>
      <c r="AB797" s="409"/>
      <c r="AC797" s="409"/>
      <c r="AD797" s="409"/>
      <c r="AE797" s="409"/>
      <c r="AF797" s="409"/>
      <c r="AG797" s="409"/>
      <c r="AH797" s="409"/>
      <c r="AI797" s="409"/>
      <c r="AJ797" s="409"/>
      <c r="AK797" s="409"/>
      <c r="AL797" s="409"/>
      <c r="AM797" s="409"/>
      <c r="AN797" s="409"/>
      <c r="AO797" s="409"/>
      <c r="AP797" s="409"/>
      <c r="AQ797" s="409"/>
      <c r="AR797" s="410"/>
    </row>
    <row r="798" spans="1:44" ht="18" customHeight="1">
      <c r="C798" s="385"/>
      <c r="D798" s="386"/>
      <c r="E798" s="386"/>
      <c r="F798" s="386"/>
      <c r="G798" s="386"/>
      <c r="H798" s="386"/>
      <c r="I798" s="387"/>
      <c r="J798" s="387"/>
      <c r="K798" s="387"/>
      <c r="L798" s="387"/>
      <c r="M798" s="387"/>
      <c r="N798" s="387"/>
      <c r="O798" s="387"/>
      <c r="P798" s="387"/>
      <c r="Q798" s="387"/>
      <c r="R798" s="387"/>
      <c r="S798" s="387"/>
      <c r="T798" s="387"/>
      <c r="U798" s="387"/>
      <c r="V798" s="387"/>
      <c r="W798" s="387"/>
      <c r="X798" s="387"/>
      <c r="Y798" s="387"/>
      <c r="Z798" s="387"/>
      <c r="AA798" s="387"/>
      <c r="AB798" s="387"/>
      <c r="AC798" s="387"/>
      <c r="AD798" s="387"/>
      <c r="AE798" s="387"/>
      <c r="AF798" s="387"/>
      <c r="AG798" s="387"/>
      <c r="AH798" s="387"/>
      <c r="AI798" s="387"/>
      <c r="AJ798" s="387"/>
      <c r="AK798" s="387"/>
      <c r="AL798" s="387"/>
      <c r="AM798" s="387"/>
      <c r="AN798" s="387"/>
      <c r="AO798" s="387"/>
      <c r="AP798" s="387"/>
      <c r="AQ798" s="387"/>
      <c r="AR798" s="388"/>
    </row>
    <row r="800" spans="1:44" ht="18" customHeight="1">
      <c r="C800" s="389" t="s">
        <v>100</v>
      </c>
      <c r="D800" s="390"/>
      <c r="E800" s="390"/>
      <c r="F800" s="390"/>
      <c r="G800" s="390"/>
      <c r="H800" s="390"/>
      <c r="I800" s="390"/>
      <c r="J800" s="390"/>
      <c r="K800" s="390"/>
      <c r="L800" s="390"/>
      <c r="M800" s="390"/>
      <c r="N800" s="390"/>
      <c r="O800" s="390"/>
      <c r="P800" s="390"/>
      <c r="Q800" s="390"/>
      <c r="R800" s="390"/>
      <c r="S800" s="390"/>
      <c r="T800" s="390"/>
      <c r="U800" s="390"/>
      <c r="V800" s="390"/>
      <c r="W800" s="390"/>
      <c r="X800" s="390"/>
      <c r="Y800" s="390"/>
      <c r="Z800" s="390"/>
      <c r="AA800" s="391"/>
      <c r="AB800" s="392" t="str">
        <f>[4]C.UNIT.SERV.!$E$5</f>
        <v>DATA-BASE:      MAIO/2011/PR</v>
      </c>
      <c r="AC800" s="393"/>
      <c r="AD800" s="393"/>
      <c r="AE800" s="393"/>
      <c r="AF800" s="393"/>
      <c r="AG800" s="393"/>
      <c r="AH800" s="393"/>
      <c r="AI800" s="394"/>
      <c r="AJ800" s="392"/>
      <c r="AK800" s="393"/>
      <c r="AL800" s="393"/>
      <c r="AM800" s="393"/>
      <c r="AN800" s="393"/>
      <c r="AO800" s="393"/>
      <c r="AP800" s="393"/>
      <c r="AQ800" s="393"/>
      <c r="AR800" s="401"/>
    </row>
    <row r="801" spans="3:44" ht="18" customHeight="1">
      <c r="C801" s="404" t="s">
        <v>101</v>
      </c>
      <c r="D801" s="405"/>
      <c r="E801" s="405"/>
      <c r="F801" s="405"/>
      <c r="G801" s="405" t="s">
        <v>283</v>
      </c>
      <c r="H801" s="405"/>
      <c r="I801" s="405"/>
      <c r="J801" s="405"/>
      <c r="K801" s="405"/>
      <c r="L801" s="405"/>
      <c r="M801" s="405"/>
      <c r="N801" s="405"/>
      <c r="O801" s="405"/>
      <c r="P801" s="405"/>
      <c r="Q801" s="405"/>
      <c r="R801" s="405"/>
      <c r="S801" s="405"/>
      <c r="T801" s="405"/>
      <c r="U801" s="405"/>
      <c r="V801" s="405"/>
      <c r="W801" s="405"/>
      <c r="X801" s="405"/>
      <c r="Y801" s="405"/>
      <c r="Z801" s="405"/>
      <c r="AA801" s="406"/>
      <c r="AB801" s="395"/>
      <c r="AC801" s="396"/>
      <c r="AD801" s="396"/>
      <c r="AE801" s="396"/>
      <c r="AF801" s="396"/>
      <c r="AG801" s="396"/>
      <c r="AH801" s="396"/>
      <c r="AI801" s="397"/>
      <c r="AJ801" s="395"/>
      <c r="AK801" s="396"/>
      <c r="AL801" s="396"/>
      <c r="AM801" s="396"/>
      <c r="AN801" s="396"/>
      <c r="AO801" s="396"/>
      <c r="AP801" s="396"/>
      <c r="AQ801" s="396"/>
      <c r="AR801" s="402"/>
    </row>
    <row r="802" spans="3:44" ht="18" customHeight="1">
      <c r="C802" s="404" t="s">
        <v>102</v>
      </c>
      <c r="D802" s="405"/>
      <c r="E802" s="405"/>
      <c r="F802" s="405"/>
      <c r="G802" s="405"/>
      <c r="H802" s="405"/>
      <c r="I802" s="405"/>
      <c r="J802" s="405"/>
      <c r="K802" s="405"/>
      <c r="L802" s="405"/>
      <c r="M802" s="405"/>
      <c r="N802" s="405"/>
      <c r="O802" s="405"/>
      <c r="P802" s="405"/>
      <c r="Q802" s="405"/>
      <c r="R802" s="405"/>
      <c r="S802" s="405"/>
      <c r="T802" s="405"/>
      <c r="U802" s="405"/>
      <c r="V802" s="405"/>
      <c r="W802" s="405"/>
      <c r="X802" s="405"/>
      <c r="Y802" s="405"/>
      <c r="Z802" s="405"/>
      <c r="AA802" s="406"/>
      <c r="AB802" s="395"/>
      <c r="AC802" s="396"/>
      <c r="AD802" s="396"/>
      <c r="AE802" s="396"/>
      <c r="AF802" s="396"/>
      <c r="AG802" s="396"/>
      <c r="AH802" s="396"/>
      <c r="AI802" s="397"/>
      <c r="AJ802" s="395"/>
      <c r="AK802" s="396"/>
      <c r="AL802" s="396"/>
      <c r="AM802" s="396"/>
      <c r="AN802" s="396"/>
      <c r="AO802" s="396"/>
      <c r="AP802" s="396"/>
      <c r="AQ802" s="396"/>
      <c r="AR802" s="402"/>
    </row>
    <row r="803" spans="3:44" ht="18" customHeight="1">
      <c r="C803" s="407"/>
      <c r="D803" s="408"/>
      <c r="E803" s="408"/>
      <c r="F803" s="408"/>
      <c r="G803" s="408"/>
      <c r="H803" s="408"/>
      <c r="I803" s="408"/>
      <c r="J803" s="408"/>
      <c r="K803" s="408"/>
      <c r="L803" s="408"/>
      <c r="M803" s="408"/>
      <c r="N803" s="408"/>
      <c r="O803" s="408"/>
      <c r="P803" s="408"/>
      <c r="Q803" s="408"/>
      <c r="R803" s="408"/>
      <c r="S803" s="408"/>
      <c r="T803" s="408"/>
      <c r="U803" s="408"/>
      <c r="V803" s="408"/>
      <c r="W803" s="408"/>
      <c r="X803" s="408"/>
      <c r="Y803" s="408"/>
      <c r="Z803" s="408"/>
      <c r="AA803" s="408"/>
      <c r="AB803" s="398"/>
      <c r="AC803" s="399"/>
      <c r="AD803" s="399"/>
      <c r="AE803" s="399"/>
      <c r="AF803" s="399"/>
      <c r="AG803" s="399"/>
      <c r="AH803" s="399"/>
      <c r="AI803" s="400"/>
      <c r="AJ803" s="398"/>
      <c r="AK803" s="399"/>
      <c r="AL803" s="399"/>
      <c r="AM803" s="399"/>
      <c r="AN803" s="399"/>
      <c r="AO803" s="399"/>
      <c r="AP803" s="399"/>
      <c r="AQ803" s="399"/>
      <c r="AR803" s="403"/>
    </row>
    <row r="805" spans="3:44" ht="18" customHeight="1">
      <c r="C805" s="850" t="s">
        <v>64</v>
      </c>
      <c r="D805" s="851"/>
      <c r="E805" s="851"/>
      <c r="F805" s="851"/>
      <c r="G805" s="851"/>
      <c r="H805" s="851"/>
      <c r="I805" s="851"/>
      <c r="J805" s="851"/>
      <c r="K805" s="851"/>
      <c r="L805" s="851"/>
      <c r="M805" s="851"/>
      <c r="N805" s="851"/>
      <c r="O805" s="851"/>
      <c r="P805" s="851"/>
      <c r="Q805" s="851"/>
      <c r="R805" s="851"/>
      <c r="S805" s="851"/>
      <c r="T805" s="851"/>
      <c r="U805" s="851"/>
      <c r="V805" s="851"/>
      <c r="W805" s="851"/>
      <c r="X805" s="851"/>
      <c r="Y805" s="851"/>
      <c r="Z805" s="851"/>
      <c r="AA805" s="851"/>
      <c r="AB805" s="851"/>
      <c r="AC805" s="851"/>
      <c r="AD805" s="851"/>
      <c r="AE805" s="851"/>
      <c r="AF805" s="851"/>
      <c r="AG805" s="851"/>
      <c r="AH805" s="851"/>
      <c r="AI805" s="851"/>
      <c r="AJ805" s="851"/>
      <c r="AK805" s="851"/>
      <c r="AL805" s="851"/>
      <c r="AM805" s="851"/>
      <c r="AN805" s="851"/>
      <c r="AO805" s="851"/>
      <c r="AP805" s="851"/>
      <c r="AQ805" s="851"/>
      <c r="AR805" s="852"/>
    </row>
    <row r="806" spans="3:44" ht="18" customHeight="1">
      <c r="C806" s="853"/>
      <c r="D806" s="854"/>
      <c r="E806" s="854"/>
      <c r="F806" s="854"/>
      <c r="G806" s="854"/>
      <c r="H806" s="854"/>
      <c r="I806" s="854"/>
      <c r="J806" s="854"/>
      <c r="K806" s="854"/>
      <c r="L806" s="854"/>
      <c r="M806" s="854"/>
      <c r="N806" s="854"/>
      <c r="O806" s="854"/>
      <c r="P806" s="854"/>
      <c r="Q806" s="854"/>
      <c r="R806" s="854"/>
      <c r="S806" s="854"/>
      <c r="T806" s="854"/>
      <c r="U806" s="854"/>
      <c r="V806" s="854"/>
      <c r="W806" s="854"/>
      <c r="X806" s="854"/>
      <c r="Y806" s="854"/>
      <c r="Z806" s="854"/>
      <c r="AA806" s="854"/>
      <c r="AB806" s="854"/>
      <c r="AC806" s="854"/>
      <c r="AD806" s="854"/>
      <c r="AE806" s="854"/>
      <c r="AF806" s="854"/>
      <c r="AG806" s="854"/>
      <c r="AH806" s="854"/>
      <c r="AI806" s="854"/>
      <c r="AJ806" s="854"/>
      <c r="AK806" s="854"/>
      <c r="AL806" s="854"/>
      <c r="AM806" s="854"/>
      <c r="AN806" s="854"/>
      <c r="AO806" s="854"/>
      <c r="AP806" s="854"/>
      <c r="AQ806" s="854"/>
      <c r="AR806" s="855"/>
    </row>
    <row r="807" spans="3:44" ht="18" customHeight="1">
      <c r="C807" s="856" t="s">
        <v>65</v>
      </c>
      <c r="D807" s="857"/>
      <c r="E807" s="857"/>
      <c r="F807" s="857"/>
      <c r="G807" s="860" t="s">
        <v>451</v>
      </c>
      <c r="H807" s="860"/>
      <c r="I807" s="860"/>
      <c r="J807" s="861"/>
      <c r="K807" s="864" t="s">
        <v>66</v>
      </c>
      <c r="L807" s="865"/>
      <c r="M807" s="865"/>
      <c r="N807" s="865"/>
      <c r="O807" s="526" t="s">
        <v>627</v>
      </c>
      <c r="P807" s="526"/>
      <c r="Q807" s="526"/>
      <c r="R807" s="526"/>
      <c r="S807" s="526"/>
      <c r="T807" s="526"/>
      <c r="U807" s="526"/>
      <c r="V807" s="526"/>
      <c r="W807" s="526"/>
      <c r="X807" s="526"/>
      <c r="Y807" s="526"/>
      <c r="Z807" s="526"/>
      <c r="AA807" s="526"/>
      <c r="AB807" s="526"/>
      <c r="AC807" s="526"/>
      <c r="AD807" s="526"/>
      <c r="AE807" s="526"/>
      <c r="AF807" s="526"/>
      <c r="AG807" s="526"/>
      <c r="AH807" s="526"/>
      <c r="AI807" s="526"/>
      <c r="AJ807" s="526"/>
      <c r="AK807" s="527"/>
      <c r="AL807" s="864" t="s">
        <v>67</v>
      </c>
      <c r="AM807" s="865"/>
      <c r="AN807" s="865"/>
      <c r="AO807" s="865"/>
      <c r="AP807" s="843" t="s">
        <v>194</v>
      </c>
      <c r="AQ807" s="843"/>
      <c r="AR807" s="844"/>
    </row>
    <row r="808" spans="3:44" ht="18" customHeight="1">
      <c r="C808" s="858"/>
      <c r="D808" s="859"/>
      <c r="E808" s="859"/>
      <c r="F808" s="859"/>
      <c r="G808" s="862"/>
      <c r="H808" s="862"/>
      <c r="I808" s="862"/>
      <c r="J808" s="863"/>
      <c r="K808" s="866"/>
      <c r="L808" s="867"/>
      <c r="M808" s="867"/>
      <c r="N808" s="867"/>
      <c r="O808" s="528"/>
      <c r="P808" s="528"/>
      <c r="Q808" s="528"/>
      <c r="R808" s="528"/>
      <c r="S808" s="528"/>
      <c r="T808" s="528"/>
      <c r="U808" s="528"/>
      <c r="V808" s="528"/>
      <c r="W808" s="528"/>
      <c r="X808" s="528"/>
      <c r="Y808" s="528"/>
      <c r="Z808" s="528"/>
      <c r="AA808" s="528"/>
      <c r="AB808" s="528"/>
      <c r="AC808" s="528"/>
      <c r="AD808" s="528"/>
      <c r="AE808" s="528"/>
      <c r="AF808" s="528"/>
      <c r="AG808" s="528"/>
      <c r="AH808" s="528"/>
      <c r="AI808" s="528"/>
      <c r="AJ808" s="528"/>
      <c r="AK808" s="529"/>
      <c r="AL808" s="866"/>
      <c r="AM808" s="867"/>
      <c r="AN808" s="867"/>
      <c r="AO808" s="867"/>
      <c r="AP808" s="845"/>
      <c r="AQ808" s="845"/>
      <c r="AR808" s="846"/>
    </row>
    <row r="810" spans="3:44" ht="18" customHeight="1">
      <c r="C810" s="794" t="s">
        <v>43</v>
      </c>
      <c r="D810" s="774"/>
      <c r="E810" s="775"/>
      <c r="F810" s="773" t="s">
        <v>68</v>
      </c>
      <c r="G810" s="774"/>
      <c r="H810" s="774"/>
      <c r="I810" s="774"/>
      <c r="J810" s="774"/>
      <c r="K810" s="774"/>
      <c r="L810" s="774"/>
      <c r="M810" s="774"/>
      <c r="N810" s="774"/>
      <c r="O810" s="774"/>
      <c r="P810" s="774"/>
      <c r="Q810" s="774"/>
      <c r="R810" s="774"/>
      <c r="S810" s="774"/>
      <c r="T810" s="774"/>
      <c r="U810" s="775"/>
      <c r="V810" s="773" t="s">
        <v>249</v>
      </c>
      <c r="W810" s="774"/>
      <c r="X810" s="775"/>
      <c r="Y810" s="847" t="s">
        <v>69</v>
      </c>
      <c r="Z810" s="848"/>
      <c r="AA810" s="848"/>
      <c r="AB810" s="848"/>
      <c r="AC810" s="848"/>
      <c r="AD810" s="848"/>
      <c r="AE810" s="848"/>
      <c r="AF810" s="849"/>
      <c r="AG810" s="847" t="s">
        <v>70</v>
      </c>
      <c r="AH810" s="848"/>
      <c r="AI810" s="848"/>
      <c r="AJ810" s="848"/>
      <c r="AK810" s="848"/>
      <c r="AL810" s="848"/>
      <c r="AM810" s="848"/>
      <c r="AN810" s="849"/>
      <c r="AO810" s="773" t="s">
        <v>71</v>
      </c>
      <c r="AP810" s="774"/>
      <c r="AQ810" s="774"/>
      <c r="AR810" s="779"/>
    </row>
    <row r="811" spans="3:44" ht="18" customHeight="1">
      <c r="C811" s="795"/>
      <c r="D811" s="777"/>
      <c r="E811" s="778"/>
      <c r="F811" s="776"/>
      <c r="G811" s="777"/>
      <c r="H811" s="777"/>
      <c r="I811" s="777"/>
      <c r="J811" s="777"/>
      <c r="K811" s="777"/>
      <c r="L811" s="777"/>
      <c r="M811" s="777"/>
      <c r="N811" s="777"/>
      <c r="O811" s="777"/>
      <c r="P811" s="777"/>
      <c r="Q811" s="777"/>
      <c r="R811" s="777"/>
      <c r="S811" s="777"/>
      <c r="T811" s="777"/>
      <c r="U811" s="778"/>
      <c r="V811" s="776"/>
      <c r="W811" s="777"/>
      <c r="X811" s="778"/>
      <c r="Y811" s="834" t="s">
        <v>72</v>
      </c>
      <c r="Z811" s="835"/>
      <c r="AA811" s="835"/>
      <c r="AB811" s="836"/>
      <c r="AC811" s="834" t="s">
        <v>73</v>
      </c>
      <c r="AD811" s="835"/>
      <c r="AE811" s="835"/>
      <c r="AF811" s="836"/>
      <c r="AG811" s="834" t="s">
        <v>72</v>
      </c>
      <c r="AH811" s="835"/>
      <c r="AI811" s="835"/>
      <c r="AJ811" s="836"/>
      <c r="AK811" s="834" t="s">
        <v>73</v>
      </c>
      <c r="AL811" s="835"/>
      <c r="AM811" s="835"/>
      <c r="AN811" s="836"/>
      <c r="AO811" s="776"/>
      <c r="AP811" s="777"/>
      <c r="AQ811" s="777"/>
      <c r="AR811" s="780"/>
    </row>
    <row r="812" spans="3:44" ht="18" customHeight="1">
      <c r="C812" s="781" t="s">
        <v>1386</v>
      </c>
      <c r="D812" s="782"/>
      <c r="E812" s="783"/>
      <c r="F812" s="493" t="s">
        <v>628</v>
      </c>
      <c r="G812" s="493"/>
      <c r="H812" s="493"/>
      <c r="I812" s="493"/>
      <c r="J812" s="493"/>
      <c r="K812" s="493"/>
      <c r="L812" s="493"/>
      <c r="M812" s="493"/>
      <c r="N812" s="493"/>
      <c r="O812" s="493"/>
      <c r="P812" s="493"/>
      <c r="Q812" s="493"/>
      <c r="R812" s="493"/>
      <c r="S812" s="493"/>
      <c r="T812" s="493"/>
      <c r="U812" s="493"/>
      <c r="V812" s="837">
        <v>0.56999999999999995</v>
      </c>
      <c r="W812" s="838"/>
      <c r="X812" s="839"/>
      <c r="Y812" s="837">
        <v>1</v>
      </c>
      <c r="Z812" s="838"/>
      <c r="AA812" s="838"/>
      <c r="AB812" s="839"/>
      <c r="AC812" s="868">
        <v>0</v>
      </c>
      <c r="AD812" s="869"/>
      <c r="AE812" s="869"/>
      <c r="AF812" s="870"/>
      <c r="AG812" s="491">
        <f>VLOOKUP(C812,[4]EQUIPAMENTOS!A$1:D$65536,3,FALSE)</f>
        <v>120.4585</v>
      </c>
      <c r="AH812" s="491"/>
      <c r="AI812" s="491"/>
      <c r="AJ812" s="491"/>
      <c r="AK812" s="491">
        <f>VLOOKUP(C812,[4]EQUIPAMENTOS!A$1:D$65536,4,FALSE)</f>
        <v>17.939399999999999</v>
      </c>
      <c r="AL812" s="491"/>
      <c r="AM812" s="491"/>
      <c r="AN812" s="491"/>
      <c r="AO812" s="491">
        <f>ROUND((Y812*AG812+AC812*AK812)*V812,2)</f>
        <v>68.66</v>
      </c>
      <c r="AP812" s="491"/>
      <c r="AQ812" s="491"/>
      <c r="AR812" s="492"/>
    </row>
    <row r="813" spans="3:44" ht="18" customHeight="1">
      <c r="C813" s="758" t="s">
        <v>1387</v>
      </c>
      <c r="D813" s="759"/>
      <c r="E813" s="760"/>
      <c r="F813" s="493" t="s">
        <v>629</v>
      </c>
      <c r="G813" s="493"/>
      <c r="H813" s="493"/>
      <c r="I813" s="493"/>
      <c r="J813" s="493"/>
      <c r="K813" s="493"/>
      <c r="L813" s="493"/>
      <c r="M813" s="493"/>
      <c r="N813" s="493"/>
      <c r="O813" s="493"/>
      <c r="P813" s="493"/>
      <c r="Q813" s="493"/>
      <c r="R813" s="493"/>
      <c r="S813" s="493"/>
      <c r="T813" s="493"/>
      <c r="U813" s="493"/>
      <c r="V813" s="466">
        <v>0.09</v>
      </c>
      <c r="W813" s="467"/>
      <c r="X813" s="468"/>
      <c r="Y813" s="466">
        <v>1</v>
      </c>
      <c r="Z813" s="467"/>
      <c r="AA813" s="467"/>
      <c r="AB813" s="468"/>
      <c r="AC813" s="828">
        <v>0</v>
      </c>
      <c r="AD813" s="829"/>
      <c r="AE813" s="829"/>
      <c r="AF813" s="830"/>
      <c r="AG813" s="491">
        <f>VLOOKUP(C813,[4]EQUIPAMENTOS!A$1:D$65536,3,FALSE)</f>
        <v>123.3065</v>
      </c>
      <c r="AH813" s="491"/>
      <c r="AI813" s="491"/>
      <c r="AJ813" s="491"/>
      <c r="AK813" s="491">
        <f>VLOOKUP(C813,[4]EQUIPAMENTOS!A$1:D$65536,4,FALSE)</f>
        <v>17.939399999999999</v>
      </c>
      <c r="AL813" s="491"/>
      <c r="AM813" s="491"/>
      <c r="AN813" s="491"/>
      <c r="AO813" s="491">
        <f>ROUND((Y813*AG813+AC813*AK813)*V813,2)</f>
        <v>11.1</v>
      </c>
      <c r="AP813" s="491"/>
      <c r="AQ813" s="491"/>
      <c r="AR813" s="492"/>
    </row>
    <row r="814" spans="3:44" ht="18" customHeight="1">
      <c r="C814" s="758"/>
      <c r="D814" s="759"/>
      <c r="E814" s="760"/>
      <c r="F814" s="493"/>
      <c r="G814" s="493"/>
      <c r="H814" s="493"/>
      <c r="I814" s="493"/>
      <c r="J814" s="493"/>
      <c r="K814" s="493"/>
      <c r="L814" s="493"/>
      <c r="M814" s="493"/>
      <c r="N814" s="493"/>
      <c r="O814" s="493"/>
      <c r="P814" s="493"/>
      <c r="Q814" s="493"/>
      <c r="R814" s="493"/>
      <c r="S814" s="493"/>
      <c r="T814" s="493"/>
      <c r="U814" s="493"/>
      <c r="V814" s="466"/>
      <c r="W814" s="467"/>
      <c r="X814" s="468"/>
      <c r="Y814" s="466"/>
      <c r="Z814" s="467"/>
      <c r="AA814" s="467"/>
      <c r="AB814" s="468"/>
      <c r="AC814" s="828"/>
      <c r="AD814" s="829"/>
      <c r="AE814" s="829"/>
      <c r="AF814" s="830"/>
      <c r="AG814" s="491"/>
      <c r="AH814" s="491"/>
      <c r="AI814" s="491"/>
      <c r="AJ814" s="491"/>
      <c r="AK814" s="491"/>
      <c r="AL814" s="491"/>
      <c r="AM814" s="491"/>
      <c r="AN814" s="491"/>
      <c r="AO814" s="491"/>
      <c r="AP814" s="491"/>
      <c r="AQ814" s="491"/>
      <c r="AR814" s="492"/>
    </row>
    <row r="815" spans="3:44" ht="18" customHeight="1">
      <c r="C815" s="758"/>
      <c r="D815" s="759"/>
      <c r="E815" s="760"/>
      <c r="F815" s="493"/>
      <c r="G815" s="493"/>
      <c r="H815" s="493"/>
      <c r="I815" s="493"/>
      <c r="J815" s="493"/>
      <c r="K815" s="493"/>
      <c r="L815" s="493"/>
      <c r="M815" s="493"/>
      <c r="N815" s="493"/>
      <c r="O815" s="493"/>
      <c r="P815" s="493"/>
      <c r="Q815" s="493"/>
      <c r="R815" s="493"/>
      <c r="S815" s="493"/>
      <c r="T815" s="493"/>
      <c r="U815" s="493"/>
      <c r="V815" s="466"/>
      <c r="W815" s="467"/>
      <c r="X815" s="468"/>
      <c r="Y815" s="466"/>
      <c r="Z815" s="467"/>
      <c r="AA815" s="467"/>
      <c r="AB815" s="468"/>
      <c r="AC815" s="828"/>
      <c r="AD815" s="829"/>
      <c r="AE815" s="829"/>
      <c r="AF815" s="830"/>
      <c r="AG815" s="491"/>
      <c r="AH815" s="491"/>
      <c r="AI815" s="491"/>
      <c r="AJ815" s="491"/>
      <c r="AK815" s="491"/>
      <c r="AL815" s="491"/>
      <c r="AM815" s="491"/>
      <c r="AN815" s="491"/>
      <c r="AO815" s="491"/>
      <c r="AP815" s="491"/>
      <c r="AQ815" s="491"/>
      <c r="AR815" s="492"/>
    </row>
    <row r="816" spans="3:44" ht="18" customHeight="1">
      <c r="C816" s="758"/>
      <c r="D816" s="759"/>
      <c r="E816" s="760"/>
      <c r="F816" s="493"/>
      <c r="G816" s="493"/>
      <c r="H816" s="493"/>
      <c r="I816" s="493"/>
      <c r="J816" s="493"/>
      <c r="K816" s="493"/>
      <c r="L816" s="493"/>
      <c r="M816" s="493"/>
      <c r="N816" s="493"/>
      <c r="O816" s="493"/>
      <c r="P816" s="493"/>
      <c r="Q816" s="493"/>
      <c r="R816" s="493"/>
      <c r="S816" s="493"/>
      <c r="T816" s="493"/>
      <c r="U816" s="493"/>
      <c r="V816" s="466"/>
      <c r="W816" s="467"/>
      <c r="X816" s="468"/>
      <c r="Y816" s="466"/>
      <c r="Z816" s="467"/>
      <c r="AA816" s="467"/>
      <c r="AB816" s="468"/>
      <c r="AC816" s="828"/>
      <c r="AD816" s="829"/>
      <c r="AE816" s="829"/>
      <c r="AF816" s="830"/>
      <c r="AG816" s="491"/>
      <c r="AH816" s="491"/>
      <c r="AI816" s="491"/>
      <c r="AJ816" s="491"/>
      <c r="AK816" s="491"/>
      <c r="AL816" s="491"/>
      <c r="AM816" s="491"/>
      <c r="AN816" s="491"/>
      <c r="AO816" s="491"/>
      <c r="AP816" s="491"/>
      <c r="AQ816" s="491"/>
      <c r="AR816" s="492"/>
    </row>
    <row r="817" spans="3:44" ht="18" customHeight="1">
      <c r="C817" s="758"/>
      <c r="D817" s="759"/>
      <c r="E817" s="760"/>
      <c r="F817" s="493"/>
      <c r="G817" s="493"/>
      <c r="H817" s="493"/>
      <c r="I817" s="493"/>
      <c r="J817" s="493"/>
      <c r="K817" s="493"/>
      <c r="L817" s="493"/>
      <c r="M817" s="493"/>
      <c r="N817" s="493"/>
      <c r="O817" s="493"/>
      <c r="P817" s="493"/>
      <c r="Q817" s="493"/>
      <c r="R817" s="493"/>
      <c r="S817" s="493"/>
      <c r="T817" s="493"/>
      <c r="U817" s="493"/>
      <c r="V817" s="466"/>
      <c r="W817" s="467"/>
      <c r="X817" s="468"/>
      <c r="Y817" s="466"/>
      <c r="Z817" s="467"/>
      <c r="AA817" s="467"/>
      <c r="AB817" s="468"/>
      <c r="AC817" s="828"/>
      <c r="AD817" s="829"/>
      <c r="AE817" s="829"/>
      <c r="AF817" s="830"/>
      <c r="AG817" s="491"/>
      <c r="AH817" s="491"/>
      <c r="AI817" s="491"/>
      <c r="AJ817" s="491"/>
      <c r="AK817" s="491"/>
      <c r="AL817" s="491"/>
      <c r="AM817" s="491"/>
      <c r="AN817" s="491"/>
      <c r="AO817" s="491"/>
      <c r="AP817" s="491"/>
      <c r="AQ817" s="491"/>
      <c r="AR817" s="492"/>
    </row>
    <row r="818" spans="3:44" ht="18" customHeight="1">
      <c r="C818" s="758"/>
      <c r="D818" s="759"/>
      <c r="E818" s="760"/>
      <c r="F818" s="796"/>
      <c r="G818" s="797"/>
      <c r="H818" s="797"/>
      <c r="I818" s="797"/>
      <c r="J818" s="797"/>
      <c r="K818" s="797"/>
      <c r="L818" s="797"/>
      <c r="M818" s="797"/>
      <c r="N818" s="797"/>
      <c r="O818" s="797"/>
      <c r="P818" s="797"/>
      <c r="Q818" s="797"/>
      <c r="R818" s="797"/>
      <c r="S818" s="797"/>
      <c r="T818" s="797"/>
      <c r="U818" s="798"/>
      <c r="V818" s="466"/>
      <c r="W818" s="467"/>
      <c r="X818" s="468"/>
      <c r="Y818" s="466"/>
      <c r="Z818" s="467"/>
      <c r="AA818" s="467"/>
      <c r="AB818" s="468"/>
      <c r="AC818" s="828"/>
      <c r="AD818" s="829"/>
      <c r="AE818" s="829"/>
      <c r="AF818" s="830"/>
      <c r="AG818" s="466"/>
      <c r="AH818" s="467"/>
      <c r="AI818" s="467"/>
      <c r="AJ818" s="468"/>
      <c r="AK818" s="466"/>
      <c r="AL818" s="467"/>
      <c r="AM818" s="467"/>
      <c r="AN818" s="468"/>
      <c r="AO818" s="466"/>
      <c r="AP818" s="467"/>
      <c r="AQ818" s="467"/>
      <c r="AR818" s="823"/>
    </row>
    <row r="819" spans="3:44" ht="18" customHeight="1">
      <c r="C819" s="758"/>
      <c r="D819" s="759"/>
      <c r="E819" s="760"/>
      <c r="F819" s="796"/>
      <c r="G819" s="797"/>
      <c r="H819" s="797"/>
      <c r="I819" s="797"/>
      <c r="J819" s="797"/>
      <c r="K819" s="797"/>
      <c r="L819" s="797"/>
      <c r="M819" s="797"/>
      <c r="N819" s="797"/>
      <c r="O819" s="797"/>
      <c r="P819" s="797"/>
      <c r="Q819" s="797"/>
      <c r="R819" s="797"/>
      <c r="S819" s="797"/>
      <c r="T819" s="797"/>
      <c r="U819" s="798"/>
      <c r="V819" s="466"/>
      <c r="W819" s="467"/>
      <c r="X819" s="468"/>
      <c r="Y819" s="466"/>
      <c r="Z819" s="467"/>
      <c r="AA819" s="467"/>
      <c r="AB819" s="468"/>
      <c r="AC819" s="828"/>
      <c r="AD819" s="829"/>
      <c r="AE819" s="829"/>
      <c r="AF819" s="830"/>
      <c r="AG819" s="466"/>
      <c r="AH819" s="467"/>
      <c r="AI819" s="467"/>
      <c r="AJ819" s="468"/>
      <c r="AK819" s="466"/>
      <c r="AL819" s="467"/>
      <c r="AM819" s="467"/>
      <c r="AN819" s="468"/>
      <c r="AO819" s="466"/>
      <c r="AP819" s="467"/>
      <c r="AQ819" s="467"/>
      <c r="AR819" s="823"/>
    </row>
    <row r="820" spans="3:44" ht="18" customHeight="1">
      <c r="C820" s="743"/>
      <c r="D820" s="744"/>
      <c r="E820" s="744"/>
      <c r="F820" s="744"/>
      <c r="G820" s="744"/>
      <c r="H820" s="744"/>
      <c r="I820" s="744"/>
      <c r="J820" s="744"/>
      <c r="K820" s="744"/>
      <c r="L820" s="744"/>
      <c r="M820" s="744"/>
      <c r="N820" s="744"/>
      <c r="O820" s="744"/>
      <c r="P820" s="744"/>
      <c r="Q820" s="744"/>
      <c r="R820" s="744"/>
      <c r="S820" s="744"/>
      <c r="T820" s="744"/>
      <c r="U820" s="744"/>
      <c r="V820" s="744"/>
      <c r="W820" s="744"/>
      <c r="X820" s="824"/>
      <c r="Y820" s="825" t="s">
        <v>74</v>
      </c>
      <c r="Z820" s="826"/>
      <c r="AA820" s="826"/>
      <c r="AB820" s="826"/>
      <c r="AC820" s="826"/>
      <c r="AD820" s="826"/>
      <c r="AE820" s="826"/>
      <c r="AF820" s="826"/>
      <c r="AG820" s="826"/>
      <c r="AH820" s="826"/>
      <c r="AI820" s="826"/>
      <c r="AJ820" s="826"/>
      <c r="AK820" s="826"/>
      <c r="AL820" s="826"/>
      <c r="AM820" s="826"/>
      <c r="AN820" s="827"/>
      <c r="AO820" s="477">
        <f>SUM(AO812:AR819)</f>
        <v>79.759999999999991</v>
      </c>
      <c r="AP820" s="746"/>
      <c r="AQ820" s="746"/>
      <c r="AR820" s="747"/>
    </row>
    <row r="822" spans="3:44" ht="18" customHeight="1">
      <c r="C822" s="794" t="s">
        <v>43</v>
      </c>
      <c r="D822" s="774"/>
      <c r="E822" s="775"/>
      <c r="F822" s="773" t="s">
        <v>75</v>
      </c>
      <c r="G822" s="774"/>
      <c r="H822" s="774"/>
      <c r="I822" s="774"/>
      <c r="J822" s="774"/>
      <c r="K822" s="774"/>
      <c r="L822" s="774"/>
      <c r="M822" s="774"/>
      <c r="N822" s="774"/>
      <c r="O822" s="774"/>
      <c r="P822" s="774"/>
      <c r="Q822" s="774"/>
      <c r="R822" s="774"/>
      <c r="S822" s="774"/>
      <c r="T822" s="774"/>
      <c r="U822" s="774"/>
      <c r="V822" s="774"/>
      <c r="W822" s="774"/>
      <c r="X822" s="774"/>
      <c r="Y822" s="774"/>
      <c r="Z822" s="774"/>
      <c r="AA822" s="774"/>
      <c r="AB822" s="775"/>
      <c r="AC822" s="773" t="s">
        <v>76</v>
      </c>
      <c r="AD822" s="774"/>
      <c r="AE822" s="774"/>
      <c r="AF822" s="775"/>
      <c r="AG822" s="773" t="s">
        <v>249</v>
      </c>
      <c r="AH822" s="774"/>
      <c r="AI822" s="774"/>
      <c r="AJ822" s="775"/>
      <c r="AK822" s="773" t="s">
        <v>77</v>
      </c>
      <c r="AL822" s="774"/>
      <c r="AM822" s="774"/>
      <c r="AN822" s="775"/>
      <c r="AO822" s="773" t="s">
        <v>71</v>
      </c>
      <c r="AP822" s="774"/>
      <c r="AQ822" s="774"/>
      <c r="AR822" s="779"/>
    </row>
    <row r="823" spans="3:44" ht="18" customHeight="1">
      <c r="C823" s="795"/>
      <c r="D823" s="777"/>
      <c r="E823" s="778"/>
      <c r="F823" s="776"/>
      <c r="G823" s="777"/>
      <c r="H823" s="777"/>
      <c r="I823" s="777"/>
      <c r="J823" s="777"/>
      <c r="K823" s="777"/>
      <c r="L823" s="777"/>
      <c r="M823" s="777"/>
      <c r="N823" s="777"/>
      <c r="O823" s="777"/>
      <c r="P823" s="777"/>
      <c r="Q823" s="777"/>
      <c r="R823" s="777"/>
      <c r="S823" s="777"/>
      <c r="T823" s="777"/>
      <c r="U823" s="777"/>
      <c r="V823" s="777"/>
      <c r="W823" s="777"/>
      <c r="X823" s="777"/>
      <c r="Y823" s="777"/>
      <c r="Z823" s="777"/>
      <c r="AA823" s="777"/>
      <c r="AB823" s="778"/>
      <c r="AC823" s="776"/>
      <c r="AD823" s="777"/>
      <c r="AE823" s="777"/>
      <c r="AF823" s="778"/>
      <c r="AG823" s="776"/>
      <c r="AH823" s="777"/>
      <c r="AI823" s="777"/>
      <c r="AJ823" s="778"/>
      <c r="AK823" s="776"/>
      <c r="AL823" s="777"/>
      <c r="AM823" s="777"/>
      <c r="AN823" s="778"/>
      <c r="AO823" s="776"/>
      <c r="AP823" s="777"/>
      <c r="AQ823" s="777"/>
      <c r="AR823" s="780"/>
    </row>
    <row r="824" spans="3:44" ht="18" customHeight="1">
      <c r="C824" s="781" t="s">
        <v>940</v>
      </c>
      <c r="D824" s="782"/>
      <c r="E824" s="783"/>
      <c r="F824" s="493" t="s">
        <v>105</v>
      </c>
      <c r="G824" s="493"/>
      <c r="H824" s="493"/>
      <c r="I824" s="493"/>
      <c r="J824" s="493"/>
      <c r="K824" s="493"/>
      <c r="L824" s="493"/>
      <c r="M824" s="493"/>
      <c r="N824" s="493"/>
      <c r="O824" s="493"/>
      <c r="P824" s="493"/>
      <c r="Q824" s="493"/>
      <c r="R824" s="493"/>
      <c r="S824" s="493"/>
      <c r="T824" s="493"/>
      <c r="U824" s="493"/>
      <c r="V824" s="493"/>
      <c r="W824" s="493"/>
      <c r="X824" s="493"/>
      <c r="Y824" s="493"/>
      <c r="Z824" s="493"/>
      <c r="AA824" s="493"/>
      <c r="AB824" s="493"/>
      <c r="AC824" s="770"/>
      <c r="AD824" s="771"/>
      <c r="AE824" s="771"/>
      <c r="AF824" s="790"/>
      <c r="AG824" s="770">
        <v>109.59</v>
      </c>
      <c r="AH824" s="771"/>
      <c r="AI824" s="771"/>
      <c r="AJ824" s="790"/>
      <c r="AK824" s="449">
        <f>VLOOKUP(C824,[4]MÃODEOBRA!A$1:D$65536,4,FALSE)</f>
        <v>22.98488</v>
      </c>
      <c r="AL824" s="449"/>
      <c r="AM824" s="449"/>
      <c r="AN824" s="449"/>
      <c r="AO824" s="491">
        <f>ROUND(AG824*AK824,2)</f>
        <v>2518.91</v>
      </c>
      <c r="AP824" s="491"/>
      <c r="AQ824" s="491"/>
      <c r="AR824" s="492"/>
    </row>
    <row r="825" spans="3:44" ht="18" customHeight="1">
      <c r="C825" s="758"/>
      <c r="D825" s="759"/>
      <c r="E825" s="760"/>
      <c r="F825" s="493"/>
      <c r="G825" s="493"/>
      <c r="H825" s="493"/>
      <c r="I825" s="493"/>
      <c r="J825" s="493"/>
      <c r="K825" s="493"/>
      <c r="L825" s="493"/>
      <c r="M825" s="493"/>
      <c r="N825" s="493"/>
      <c r="O825" s="493"/>
      <c r="P825" s="493"/>
      <c r="Q825" s="493"/>
      <c r="R825" s="493"/>
      <c r="S825" s="493"/>
      <c r="T825" s="493"/>
      <c r="U825" s="493"/>
      <c r="V825" s="493"/>
      <c r="W825" s="493"/>
      <c r="X825" s="493"/>
      <c r="Y825" s="493"/>
      <c r="Z825" s="493"/>
      <c r="AA825" s="493"/>
      <c r="AB825" s="493"/>
      <c r="AC825" s="740"/>
      <c r="AD825" s="741"/>
      <c r="AE825" s="741"/>
      <c r="AF825" s="757"/>
      <c r="AG825" s="740"/>
      <c r="AH825" s="741"/>
      <c r="AI825" s="741"/>
      <c r="AJ825" s="757"/>
      <c r="AK825" s="449"/>
      <c r="AL825" s="449"/>
      <c r="AM825" s="449"/>
      <c r="AN825" s="449"/>
      <c r="AO825" s="491"/>
      <c r="AP825" s="491"/>
      <c r="AQ825" s="491"/>
      <c r="AR825" s="492"/>
    </row>
    <row r="826" spans="3:44" ht="18" customHeight="1">
      <c r="C826" s="758"/>
      <c r="D826" s="759"/>
      <c r="E826" s="760"/>
      <c r="F826" s="796"/>
      <c r="G826" s="797"/>
      <c r="H826" s="797"/>
      <c r="I826" s="797"/>
      <c r="J826" s="797"/>
      <c r="K826" s="797"/>
      <c r="L826" s="797"/>
      <c r="M826" s="797"/>
      <c r="N826" s="797"/>
      <c r="O826" s="797"/>
      <c r="P826" s="797"/>
      <c r="Q826" s="797"/>
      <c r="R826" s="797"/>
      <c r="S826" s="797"/>
      <c r="T826" s="797"/>
      <c r="U826" s="797"/>
      <c r="V826" s="797"/>
      <c r="W826" s="797"/>
      <c r="X826" s="797"/>
      <c r="Y826" s="797"/>
      <c r="Z826" s="797"/>
      <c r="AA826" s="797"/>
      <c r="AB826" s="798"/>
      <c r="AC826" s="740"/>
      <c r="AD826" s="741"/>
      <c r="AE826" s="741"/>
      <c r="AF826" s="757"/>
      <c r="AG826" s="740"/>
      <c r="AH826" s="741"/>
      <c r="AI826" s="741"/>
      <c r="AJ826" s="757"/>
      <c r="AK826" s="740"/>
      <c r="AL826" s="741"/>
      <c r="AM826" s="741"/>
      <c r="AN826" s="757"/>
      <c r="AO826" s="466"/>
      <c r="AP826" s="467"/>
      <c r="AQ826" s="467"/>
      <c r="AR826" s="823"/>
    </row>
    <row r="827" spans="3:44" ht="18" customHeight="1">
      <c r="C827" s="758"/>
      <c r="D827" s="759"/>
      <c r="E827" s="760"/>
      <c r="F827" s="796"/>
      <c r="G827" s="797"/>
      <c r="H827" s="797"/>
      <c r="I827" s="797"/>
      <c r="J827" s="797"/>
      <c r="K827" s="797"/>
      <c r="L827" s="797"/>
      <c r="M827" s="797"/>
      <c r="N827" s="797"/>
      <c r="O827" s="797"/>
      <c r="P827" s="797"/>
      <c r="Q827" s="797"/>
      <c r="R827" s="797"/>
      <c r="S827" s="797"/>
      <c r="T827" s="797"/>
      <c r="U827" s="797"/>
      <c r="V827" s="797"/>
      <c r="W827" s="797"/>
      <c r="X827" s="797"/>
      <c r="Y827" s="797"/>
      <c r="Z827" s="797"/>
      <c r="AA827" s="797"/>
      <c r="AB827" s="798"/>
      <c r="AC827" s="740"/>
      <c r="AD827" s="741"/>
      <c r="AE827" s="741"/>
      <c r="AF827" s="757"/>
      <c r="AG827" s="740"/>
      <c r="AH827" s="741"/>
      <c r="AI827" s="741"/>
      <c r="AJ827" s="757"/>
      <c r="AK827" s="740"/>
      <c r="AL827" s="741"/>
      <c r="AM827" s="741"/>
      <c r="AN827" s="757"/>
      <c r="AO827" s="466"/>
      <c r="AP827" s="467"/>
      <c r="AQ827" s="467"/>
      <c r="AR827" s="823"/>
    </row>
    <row r="828" spans="3:44" ht="18" customHeight="1">
      <c r="C828" s="758"/>
      <c r="D828" s="759"/>
      <c r="E828" s="760"/>
      <c r="F828" s="796"/>
      <c r="G828" s="797"/>
      <c r="H828" s="797"/>
      <c r="I828" s="797"/>
      <c r="J828" s="797"/>
      <c r="K828" s="797"/>
      <c r="L828" s="797"/>
      <c r="M828" s="797"/>
      <c r="N828" s="797"/>
      <c r="O828" s="797"/>
      <c r="P828" s="797"/>
      <c r="Q828" s="797"/>
      <c r="R828" s="797"/>
      <c r="S828" s="797"/>
      <c r="T828" s="797"/>
      <c r="U828" s="797"/>
      <c r="V828" s="797"/>
      <c r="W828" s="797"/>
      <c r="X828" s="797"/>
      <c r="Y828" s="797"/>
      <c r="Z828" s="797"/>
      <c r="AA828" s="797"/>
      <c r="AB828" s="798"/>
      <c r="AC828" s="740"/>
      <c r="AD828" s="741"/>
      <c r="AE828" s="741"/>
      <c r="AF828" s="757"/>
      <c r="AG828" s="740"/>
      <c r="AH828" s="741"/>
      <c r="AI828" s="741"/>
      <c r="AJ828" s="757"/>
      <c r="AK828" s="740"/>
      <c r="AL828" s="741"/>
      <c r="AM828" s="741"/>
      <c r="AN828" s="757"/>
      <c r="AO828" s="466"/>
      <c r="AP828" s="467"/>
      <c r="AQ828" s="467"/>
      <c r="AR828" s="823"/>
    </row>
    <row r="829" spans="3:44" ht="18" customHeight="1">
      <c r="C829" s="758"/>
      <c r="D829" s="759"/>
      <c r="E829" s="760"/>
      <c r="F829" s="796"/>
      <c r="G829" s="797"/>
      <c r="H829" s="797"/>
      <c r="I829" s="797"/>
      <c r="J829" s="797"/>
      <c r="K829" s="797"/>
      <c r="L829" s="797"/>
      <c r="M829" s="797"/>
      <c r="N829" s="797"/>
      <c r="O829" s="797"/>
      <c r="P829" s="797"/>
      <c r="Q829" s="797"/>
      <c r="R829" s="797"/>
      <c r="S829" s="797"/>
      <c r="T829" s="797"/>
      <c r="U829" s="797"/>
      <c r="V829" s="797"/>
      <c r="W829" s="797"/>
      <c r="X829" s="797"/>
      <c r="Y829" s="797"/>
      <c r="Z829" s="797"/>
      <c r="AA829" s="797"/>
      <c r="AB829" s="798"/>
      <c r="AC829" s="740"/>
      <c r="AD829" s="741"/>
      <c r="AE829" s="741"/>
      <c r="AF829" s="757"/>
      <c r="AG829" s="740"/>
      <c r="AH829" s="741"/>
      <c r="AI829" s="741"/>
      <c r="AJ829" s="757"/>
      <c r="AK829" s="740"/>
      <c r="AL829" s="741"/>
      <c r="AM829" s="741"/>
      <c r="AN829" s="757"/>
      <c r="AO829" s="466"/>
      <c r="AP829" s="467"/>
      <c r="AQ829" s="467"/>
      <c r="AR829" s="823"/>
    </row>
    <row r="830" spans="3:44" ht="18" customHeight="1">
      <c r="C830" s="758"/>
      <c r="D830" s="759"/>
      <c r="E830" s="760"/>
      <c r="F830" s="796"/>
      <c r="G830" s="797"/>
      <c r="H830" s="797"/>
      <c r="I830" s="797"/>
      <c r="J830" s="797"/>
      <c r="K830" s="797"/>
      <c r="L830" s="797"/>
      <c r="M830" s="797"/>
      <c r="N830" s="797"/>
      <c r="O830" s="797"/>
      <c r="P830" s="797"/>
      <c r="Q830" s="797"/>
      <c r="R830" s="797"/>
      <c r="S830" s="797"/>
      <c r="T830" s="797"/>
      <c r="U830" s="797"/>
      <c r="V830" s="797"/>
      <c r="W830" s="797"/>
      <c r="X830" s="797"/>
      <c r="Y830" s="797"/>
      <c r="Z830" s="797"/>
      <c r="AA830" s="797"/>
      <c r="AB830" s="798"/>
      <c r="AC830" s="740"/>
      <c r="AD830" s="741"/>
      <c r="AE830" s="741"/>
      <c r="AF830" s="757"/>
      <c r="AG830" s="740"/>
      <c r="AH830" s="741"/>
      <c r="AI830" s="741"/>
      <c r="AJ830" s="757"/>
      <c r="AK830" s="740"/>
      <c r="AL830" s="741"/>
      <c r="AM830" s="741"/>
      <c r="AN830" s="757"/>
      <c r="AO830" s="466"/>
      <c r="AP830" s="467"/>
      <c r="AQ830" s="467"/>
      <c r="AR830" s="823"/>
    </row>
    <row r="831" spans="3:44" ht="18" customHeight="1">
      <c r="C831" s="758"/>
      <c r="D831" s="759"/>
      <c r="E831" s="760"/>
      <c r="F831" s="796"/>
      <c r="G831" s="797"/>
      <c r="H831" s="797"/>
      <c r="I831" s="797"/>
      <c r="J831" s="797"/>
      <c r="K831" s="797"/>
      <c r="L831" s="797"/>
      <c r="M831" s="797"/>
      <c r="N831" s="797"/>
      <c r="O831" s="797"/>
      <c r="P831" s="797"/>
      <c r="Q831" s="797"/>
      <c r="R831" s="797"/>
      <c r="S831" s="797"/>
      <c r="T831" s="797"/>
      <c r="U831" s="797"/>
      <c r="V831" s="797"/>
      <c r="W831" s="797"/>
      <c r="X831" s="797"/>
      <c r="Y831" s="797"/>
      <c r="Z831" s="797"/>
      <c r="AA831" s="797"/>
      <c r="AB831" s="798"/>
      <c r="AC831" s="740"/>
      <c r="AD831" s="741"/>
      <c r="AE831" s="741"/>
      <c r="AF831" s="757"/>
      <c r="AG831" s="740"/>
      <c r="AH831" s="741"/>
      <c r="AI831" s="741"/>
      <c r="AJ831" s="757"/>
      <c r="AK831" s="740"/>
      <c r="AL831" s="741"/>
      <c r="AM831" s="741"/>
      <c r="AN831" s="757"/>
      <c r="AO831" s="466"/>
      <c r="AP831" s="467"/>
      <c r="AQ831" s="467"/>
      <c r="AR831" s="823"/>
    </row>
    <row r="832" spans="3:44" ht="18" customHeight="1">
      <c r="C832" s="814"/>
      <c r="D832" s="815"/>
      <c r="E832" s="815"/>
      <c r="F832" s="815"/>
      <c r="G832" s="815"/>
      <c r="H832" s="815"/>
      <c r="I832" s="815"/>
      <c r="J832" s="815"/>
      <c r="K832" s="815"/>
      <c r="L832" s="815"/>
      <c r="M832" s="815"/>
      <c r="N832" s="815"/>
      <c r="O832" s="815"/>
      <c r="P832" s="815"/>
      <c r="Q832" s="815"/>
      <c r="R832" s="815"/>
      <c r="S832" s="815"/>
      <c r="T832" s="815"/>
      <c r="U832" s="815"/>
      <c r="V832" s="815"/>
      <c r="W832" s="815"/>
      <c r="X832" s="815"/>
      <c r="Y832" s="816" t="s">
        <v>78</v>
      </c>
      <c r="Z832" s="816"/>
      <c r="AA832" s="816"/>
      <c r="AB832" s="816"/>
      <c r="AC832" s="816"/>
      <c r="AD832" s="816"/>
      <c r="AE832" s="816"/>
      <c r="AF832" s="483"/>
      <c r="AG832" s="817" t="s">
        <v>413</v>
      </c>
      <c r="AH832" s="818"/>
      <c r="AI832" s="818"/>
      <c r="AJ832" s="819"/>
      <c r="AK832" s="466">
        <f>SUM(AO824:AR831)</f>
        <v>2518.91</v>
      </c>
      <c r="AL832" s="467"/>
      <c r="AM832" s="467"/>
      <c r="AN832" s="468"/>
      <c r="AO832" s="820">
        <f>ROUND(AG832*AK832,2)</f>
        <v>390.68</v>
      </c>
      <c r="AP832" s="821"/>
      <c r="AQ832" s="821"/>
      <c r="AR832" s="822"/>
    </row>
    <row r="833" spans="3:44" ht="18" customHeight="1">
      <c r="C833" s="743"/>
      <c r="D833" s="744"/>
      <c r="E833" s="744"/>
      <c r="F833" s="744"/>
      <c r="G833" s="744"/>
      <c r="H833" s="744"/>
      <c r="I833" s="744"/>
      <c r="J833" s="744"/>
      <c r="K833" s="744"/>
      <c r="L833" s="744"/>
      <c r="M833" s="744"/>
      <c r="N833" s="744"/>
      <c r="O833" s="744"/>
      <c r="P833" s="744"/>
      <c r="Q833" s="744"/>
      <c r="R833" s="744"/>
      <c r="S833" s="744"/>
      <c r="T833" s="744"/>
      <c r="U833" s="744"/>
      <c r="V833" s="744"/>
      <c r="W833" s="744"/>
      <c r="X833" s="744"/>
      <c r="Y833" s="745" t="s">
        <v>79</v>
      </c>
      <c r="Z833" s="745"/>
      <c r="AA833" s="745"/>
      <c r="AB833" s="745"/>
      <c r="AC833" s="745"/>
      <c r="AD833" s="745"/>
      <c r="AE833" s="745"/>
      <c r="AF833" s="745"/>
      <c r="AG833" s="745"/>
      <c r="AH833" s="745"/>
      <c r="AI833" s="745"/>
      <c r="AJ833" s="745"/>
      <c r="AK833" s="745"/>
      <c r="AL833" s="745"/>
      <c r="AM833" s="745"/>
      <c r="AN833" s="430"/>
      <c r="AO833" s="477">
        <f>SUM(AO824:AR832)</f>
        <v>2909.5899999999997</v>
      </c>
      <c r="AP833" s="746"/>
      <c r="AQ833" s="746"/>
      <c r="AR833" s="747"/>
    </row>
    <row r="835" spans="3:44" ht="18" customHeight="1">
      <c r="C835" s="802"/>
      <c r="D835" s="803"/>
      <c r="E835" s="803"/>
      <c r="F835" s="803"/>
      <c r="G835" s="803"/>
      <c r="H835" s="803"/>
      <c r="I835" s="803"/>
      <c r="J835" s="803"/>
      <c r="K835" s="803"/>
      <c r="L835" s="803"/>
      <c r="M835" s="803"/>
      <c r="N835" s="803"/>
      <c r="O835" s="803"/>
      <c r="P835" s="803"/>
      <c r="Q835" s="803"/>
      <c r="R835" s="803"/>
      <c r="S835" s="803"/>
      <c r="T835" s="803"/>
      <c r="U835" s="803"/>
      <c r="V835" s="803"/>
      <c r="W835" s="803"/>
      <c r="X835" s="803"/>
      <c r="Y835" s="804" t="s">
        <v>80</v>
      </c>
      <c r="Z835" s="805"/>
      <c r="AA835" s="805"/>
      <c r="AB835" s="805"/>
      <c r="AC835" s="805"/>
      <c r="AD835" s="805"/>
      <c r="AE835" s="805"/>
      <c r="AF835" s="805"/>
      <c r="AG835" s="805"/>
      <c r="AH835" s="805"/>
      <c r="AI835" s="805"/>
      <c r="AJ835" s="805"/>
      <c r="AK835" s="805"/>
      <c r="AL835" s="805"/>
      <c r="AM835" s="805"/>
      <c r="AN835" s="806"/>
      <c r="AO835" s="807">
        <f>AO820+AO833</f>
        <v>2989.3499999999995</v>
      </c>
      <c r="AP835" s="808"/>
      <c r="AQ835" s="808"/>
      <c r="AR835" s="809"/>
    </row>
    <row r="836" spans="3:44" ht="18" customHeight="1">
      <c r="C836" s="810" t="s">
        <v>81</v>
      </c>
      <c r="D836" s="745"/>
      <c r="E836" s="745"/>
      <c r="F836" s="745"/>
      <c r="G836" s="745"/>
      <c r="H836" s="745"/>
      <c r="I836" s="745"/>
      <c r="J836" s="745"/>
      <c r="K836" s="745"/>
      <c r="L836" s="745"/>
      <c r="M836" s="745"/>
      <c r="N836" s="745"/>
      <c r="O836" s="745"/>
      <c r="P836" s="430"/>
      <c r="Q836" s="477">
        <v>1</v>
      </c>
      <c r="R836" s="746"/>
      <c r="S836" s="746"/>
      <c r="T836" s="746"/>
      <c r="U836" s="746"/>
      <c r="V836" s="745" t="s">
        <v>194</v>
      </c>
      <c r="W836" s="745"/>
      <c r="X836" s="430"/>
      <c r="Y836" s="804" t="s">
        <v>82</v>
      </c>
      <c r="Z836" s="805"/>
      <c r="AA836" s="805"/>
      <c r="AB836" s="805"/>
      <c r="AC836" s="805"/>
      <c r="AD836" s="805"/>
      <c r="AE836" s="805"/>
      <c r="AF836" s="805"/>
      <c r="AG836" s="805"/>
      <c r="AH836" s="805"/>
      <c r="AI836" s="805"/>
      <c r="AJ836" s="805"/>
      <c r="AK836" s="805"/>
      <c r="AL836" s="805"/>
      <c r="AM836" s="805"/>
      <c r="AN836" s="806"/>
      <c r="AO836" s="811">
        <f>ROUND(AO835/Q836,2)</f>
        <v>2989.35</v>
      </c>
      <c r="AP836" s="812"/>
      <c r="AQ836" s="812"/>
      <c r="AR836" s="813"/>
    </row>
    <row r="838" spans="3:44" ht="18" customHeight="1">
      <c r="C838" s="794" t="s">
        <v>43</v>
      </c>
      <c r="D838" s="774"/>
      <c r="E838" s="775"/>
      <c r="F838" s="773" t="s">
        <v>83</v>
      </c>
      <c r="G838" s="774"/>
      <c r="H838" s="774"/>
      <c r="I838" s="774"/>
      <c r="J838" s="774"/>
      <c r="K838" s="774"/>
      <c r="L838" s="774"/>
      <c r="M838" s="774"/>
      <c r="N838" s="774"/>
      <c r="O838" s="774"/>
      <c r="P838" s="774"/>
      <c r="Q838" s="774"/>
      <c r="R838" s="774"/>
      <c r="S838" s="774"/>
      <c r="T838" s="774"/>
      <c r="U838" s="774"/>
      <c r="V838" s="774"/>
      <c r="W838" s="774"/>
      <c r="X838" s="774"/>
      <c r="Y838" s="774"/>
      <c r="Z838" s="774"/>
      <c r="AA838" s="774"/>
      <c r="AB838" s="775"/>
      <c r="AC838" s="773" t="s">
        <v>84</v>
      </c>
      <c r="AD838" s="774"/>
      <c r="AE838" s="774"/>
      <c r="AF838" s="775"/>
      <c r="AG838" s="773" t="s">
        <v>85</v>
      </c>
      <c r="AH838" s="774"/>
      <c r="AI838" s="774"/>
      <c r="AJ838" s="775"/>
      <c r="AK838" s="773" t="s">
        <v>86</v>
      </c>
      <c r="AL838" s="774"/>
      <c r="AM838" s="774"/>
      <c r="AN838" s="775"/>
      <c r="AO838" s="773" t="s">
        <v>87</v>
      </c>
      <c r="AP838" s="774"/>
      <c r="AQ838" s="774"/>
      <c r="AR838" s="779"/>
    </row>
    <row r="839" spans="3:44" ht="18" customHeight="1">
      <c r="C839" s="795"/>
      <c r="D839" s="777"/>
      <c r="E839" s="778"/>
      <c r="F839" s="776"/>
      <c r="G839" s="777"/>
      <c r="H839" s="777"/>
      <c r="I839" s="777"/>
      <c r="J839" s="777"/>
      <c r="K839" s="777"/>
      <c r="L839" s="777"/>
      <c r="M839" s="777"/>
      <c r="N839" s="777"/>
      <c r="O839" s="777"/>
      <c r="P839" s="777"/>
      <c r="Q839" s="777"/>
      <c r="R839" s="777"/>
      <c r="S839" s="777"/>
      <c r="T839" s="777"/>
      <c r="U839" s="777"/>
      <c r="V839" s="777"/>
      <c r="W839" s="777"/>
      <c r="X839" s="777"/>
      <c r="Y839" s="777"/>
      <c r="Z839" s="777"/>
      <c r="AA839" s="777"/>
      <c r="AB839" s="778"/>
      <c r="AC839" s="776"/>
      <c r="AD839" s="777"/>
      <c r="AE839" s="777"/>
      <c r="AF839" s="778"/>
      <c r="AG839" s="776"/>
      <c r="AH839" s="777"/>
      <c r="AI839" s="777"/>
      <c r="AJ839" s="778"/>
      <c r="AK839" s="776"/>
      <c r="AL839" s="777"/>
      <c r="AM839" s="777"/>
      <c r="AN839" s="778"/>
      <c r="AO839" s="776"/>
      <c r="AP839" s="777"/>
      <c r="AQ839" s="777"/>
      <c r="AR839" s="780"/>
    </row>
    <row r="840" spans="3:44" ht="18" customHeight="1">
      <c r="C840" s="758" t="s">
        <v>1388</v>
      </c>
      <c r="D840" s="759"/>
      <c r="E840" s="760"/>
      <c r="F840" s="796" t="s">
        <v>415</v>
      </c>
      <c r="G840" s="797"/>
      <c r="H840" s="797"/>
      <c r="I840" s="797"/>
      <c r="J840" s="797"/>
      <c r="K840" s="797"/>
      <c r="L840" s="797"/>
      <c r="M840" s="797"/>
      <c r="N840" s="797"/>
      <c r="O840" s="797"/>
      <c r="P840" s="797"/>
      <c r="Q840" s="797"/>
      <c r="R840" s="797"/>
      <c r="S840" s="797"/>
      <c r="T840" s="797"/>
      <c r="U840" s="797"/>
      <c r="V840" s="797"/>
      <c r="W840" s="797"/>
      <c r="X840" s="797"/>
      <c r="Y840" s="797"/>
      <c r="Z840" s="797"/>
      <c r="AA840" s="797"/>
      <c r="AB840" s="798"/>
      <c r="AC840" s="799" t="s">
        <v>245</v>
      </c>
      <c r="AD840" s="800"/>
      <c r="AE840" s="800"/>
      <c r="AF840" s="801"/>
      <c r="AG840" s="466">
        <f>TRUNC(363.71/1.2031,2)</f>
        <v>302.31</v>
      </c>
      <c r="AH840" s="467"/>
      <c r="AI840" s="467"/>
      <c r="AJ840" s="468"/>
      <c r="AK840" s="737">
        <v>6.28</v>
      </c>
      <c r="AL840" s="738"/>
      <c r="AM840" s="738"/>
      <c r="AN840" s="739"/>
      <c r="AO840" s="740">
        <f>ROUND(AG840*AK840,2)</f>
        <v>1898.51</v>
      </c>
      <c r="AP840" s="741"/>
      <c r="AQ840" s="741"/>
      <c r="AR840" s="742"/>
    </row>
    <row r="841" spans="3:44" ht="18" customHeight="1">
      <c r="C841" s="758" t="s">
        <v>1377</v>
      </c>
      <c r="D841" s="759"/>
      <c r="E841" s="760"/>
      <c r="F841" s="796" t="s">
        <v>417</v>
      </c>
      <c r="G841" s="797"/>
      <c r="H841" s="797"/>
      <c r="I841" s="797"/>
      <c r="J841" s="797"/>
      <c r="K841" s="797"/>
      <c r="L841" s="797"/>
      <c r="M841" s="797"/>
      <c r="N841" s="797"/>
      <c r="O841" s="797"/>
      <c r="P841" s="797"/>
      <c r="Q841" s="797"/>
      <c r="R841" s="797"/>
      <c r="S841" s="797"/>
      <c r="T841" s="797"/>
      <c r="U841" s="797"/>
      <c r="V841" s="797"/>
      <c r="W841" s="797"/>
      <c r="X841" s="797"/>
      <c r="Y841" s="797"/>
      <c r="Z841" s="797"/>
      <c r="AA841" s="797"/>
      <c r="AB841" s="798"/>
      <c r="AC841" s="799" t="s">
        <v>245</v>
      </c>
      <c r="AD841" s="800"/>
      <c r="AE841" s="800"/>
      <c r="AF841" s="801"/>
      <c r="AG841" s="466">
        <f>TRUNC(373.21/1.2031,2)</f>
        <v>310.2</v>
      </c>
      <c r="AH841" s="467"/>
      <c r="AI841" s="467"/>
      <c r="AJ841" s="468"/>
      <c r="AK841" s="737">
        <v>19.434999999999999</v>
      </c>
      <c r="AL841" s="738"/>
      <c r="AM841" s="738"/>
      <c r="AN841" s="739"/>
      <c r="AO841" s="740">
        <f>ROUND(AG841*AK841,2)</f>
        <v>6028.74</v>
      </c>
      <c r="AP841" s="741"/>
      <c r="AQ841" s="741"/>
      <c r="AR841" s="742"/>
    </row>
    <row r="842" spans="3:44" ht="18" customHeight="1">
      <c r="C842" s="758" t="s">
        <v>1376</v>
      </c>
      <c r="D842" s="759"/>
      <c r="E842" s="760"/>
      <c r="F842" s="796" t="s">
        <v>370</v>
      </c>
      <c r="G842" s="797"/>
      <c r="H842" s="797"/>
      <c r="I842" s="797"/>
      <c r="J842" s="797"/>
      <c r="K842" s="797"/>
      <c r="L842" s="797"/>
      <c r="M842" s="797"/>
      <c r="N842" s="797"/>
      <c r="O842" s="797"/>
      <c r="P842" s="797"/>
      <c r="Q842" s="797"/>
      <c r="R842" s="797"/>
      <c r="S842" s="797"/>
      <c r="T842" s="797"/>
      <c r="U842" s="797"/>
      <c r="V842" s="797"/>
      <c r="W842" s="797"/>
      <c r="X842" s="797"/>
      <c r="Y842" s="797"/>
      <c r="Z842" s="797"/>
      <c r="AA842" s="797"/>
      <c r="AB842" s="798"/>
      <c r="AC842" s="799" t="s">
        <v>309</v>
      </c>
      <c r="AD842" s="800"/>
      <c r="AE842" s="800"/>
      <c r="AF842" s="801"/>
      <c r="AG842" s="466">
        <f>TRUNC(43.8/1.2031,2)</f>
        <v>36.4</v>
      </c>
      <c r="AH842" s="467"/>
      <c r="AI842" s="467"/>
      <c r="AJ842" s="468"/>
      <c r="AK842" s="737">
        <v>91.9</v>
      </c>
      <c r="AL842" s="738"/>
      <c r="AM842" s="738"/>
      <c r="AN842" s="739"/>
      <c r="AO842" s="740">
        <f>ROUND(AG842*AK842,2)</f>
        <v>3345.16</v>
      </c>
      <c r="AP842" s="741"/>
      <c r="AQ842" s="741"/>
      <c r="AR842" s="742"/>
    </row>
    <row r="843" spans="3:44" ht="18" customHeight="1">
      <c r="C843" s="758" t="s">
        <v>1384</v>
      </c>
      <c r="D843" s="759"/>
      <c r="E843" s="760"/>
      <c r="F843" s="796" t="s">
        <v>465</v>
      </c>
      <c r="G843" s="797"/>
      <c r="H843" s="797"/>
      <c r="I843" s="797"/>
      <c r="J843" s="797"/>
      <c r="K843" s="797"/>
      <c r="L843" s="797"/>
      <c r="M843" s="797"/>
      <c r="N843" s="797"/>
      <c r="O843" s="797"/>
      <c r="P843" s="797"/>
      <c r="Q843" s="797"/>
      <c r="R843" s="797"/>
      <c r="S843" s="797"/>
      <c r="T843" s="797"/>
      <c r="U843" s="797"/>
      <c r="V843" s="797"/>
      <c r="W843" s="797"/>
      <c r="X843" s="797"/>
      <c r="Y843" s="797"/>
      <c r="Z843" s="797"/>
      <c r="AA843" s="797"/>
      <c r="AB843" s="798"/>
      <c r="AC843" s="799" t="s">
        <v>246</v>
      </c>
      <c r="AD843" s="800"/>
      <c r="AE843" s="800"/>
      <c r="AF843" s="801"/>
      <c r="AG843" s="466">
        <f>TRUNC(5.97/1.2031,2)</f>
        <v>4.96</v>
      </c>
      <c r="AH843" s="467"/>
      <c r="AI843" s="467"/>
      <c r="AJ843" s="468"/>
      <c r="AK843" s="737">
        <v>1328</v>
      </c>
      <c r="AL843" s="738"/>
      <c r="AM843" s="738"/>
      <c r="AN843" s="739"/>
      <c r="AO843" s="740">
        <f>ROUND(AG843*AK843,2)</f>
        <v>6586.88</v>
      </c>
      <c r="AP843" s="741"/>
      <c r="AQ843" s="741"/>
      <c r="AR843" s="742"/>
    </row>
    <row r="844" spans="3:44" ht="18" customHeight="1">
      <c r="C844" s="758" t="s">
        <v>1378</v>
      </c>
      <c r="D844" s="759"/>
      <c r="E844" s="760"/>
      <c r="F844" s="796" t="s">
        <v>630</v>
      </c>
      <c r="G844" s="797"/>
      <c r="H844" s="797"/>
      <c r="I844" s="797"/>
      <c r="J844" s="797"/>
      <c r="K844" s="797"/>
      <c r="L844" s="797"/>
      <c r="M844" s="797"/>
      <c r="N844" s="797"/>
      <c r="O844" s="797"/>
      <c r="P844" s="797"/>
      <c r="Q844" s="797"/>
      <c r="R844" s="797"/>
      <c r="S844" s="797"/>
      <c r="T844" s="797"/>
      <c r="U844" s="797"/>
      <c r="V844" s="797"/>
      <c r="W844" s="797"/>
      <c r="X844" s="797"/>
      <c r="Y844" s="797"/>
      <c r="Z844" s="797"/>
      <c r="AA844" s="797"/>
      <c r="AB844" s="798"/>
      <c r="AC844" s="799" t="s">
        <v>245</v>
      </c>
      <c r="AD844" s="800"/>
      <c r="AE844" s="800"/>
      <c r="AF844" s="801"/>
      <c r="AG844" s="466">
        <f>TRUNC(407.48/1.2031,2)</f>
        <v>338.69</v>
      </c>
      <c r="AH844" s="467"/>
      <c r="AI844" s="467"/>
      <c r="AJ844" s="468"/>
      <c r="AK844" s="737">
        <v>1.026</v>
      </c>
      <c r="AL844" s="738"/>
      <c r="AM844" s="738"/>
      <c r="AN844" s="739"/>
      <c r="AO844" s="740">
        <f>ROUND(AG844*AK844,2)</f>
        <v>347.5</v>
      </c>
      <c r="AP844" s="741"/>
      <c r="AQ844" s="741"/>
      <c r="AR844" s="742"/>
    </row>
    <row r="845" spans="3:44" ht="18" customHeight="1">
      <c r="C845" s="758"/>
      <c r="D845" s="759"/>
      <c r="E845" s="760"/>
      <c r="F845" s="796"/>
      <c r="G845" s="797"/>
      <c r="H845" s="797"/>
      <c r="I845" s="797"/>
      <c r="J845" s="797"/>
      <c r="K845" s="797"/>
      <c r="L845" s="797"/>
      <c r="M845" s="797"/>
      <c r="N845" s="797"/>
      <c r="O845" s="797"/>
      <c r="P845" s="797"/>
      <c r="Q845" s="797"/>
      <c r="R845" s="797"/>
      <c r="S845" s="797"/>
      <c r="T845" s="797"/>
      <c r="U845" s="797"/>
      <c r="V845" s="797"/>
      <c r="W845" s="797"/>
      <c r="X845" s="797"/>
      <c r="Y845" s="797"/>
      <c r="Z845" s="797"/>
      <c r="AA845" s="797"/>
      <c r="AB845" s="798"/>
      <c r="AC845" s="799"/>
      <c r="AD845" s="800"/>
      <c r="AE845" s="800"/>
      <c r="AF845" s="801"/>
      <c r="AG845" s="466"/>
      <c r="AH845" s="467"/>
      <c r="AI845" s="467"/>
      <c r="AJ845" s="468"/>
      <c r="AK845" s="737" t="s">
        <v>631</v>
      </c>
      <c r="AL845" s="738"/>
      <c r="AM845" s="738"/>
      <c r="AN845" s="739"/>
      <c r="AO845" s="740"/>
      <c r="AP845" s="741"/>
      <c r="AQ845" s="741"/>
      <c r="AR845" s="742"/>
    </row>
    <row r="846" spans="3:44" ht="18" customHeight="1">
      <c r="C846" s="758"/>
      <c r="D846" s="759"/>
      <c r="E846" s="760"/>
      <c r="F846" s="796"/>
      <c r="G846" s="797"/>
      <c r="H846" s="797"/>
      <c r="I846" s="797"/>
      <c r="J846" s="797"/>
      <c r="K846" s="797"/>
      <c r="L846" s="797"/>
      <c r="M846" s="797"/>
      <c r="N846" s="797"/>
      <c r="O846" s="797"/>
      <c r="P846" s="797"/>
      <c r="Q846" s="797"/>
      <c r="R846" s="797"/>
      <c r="S846" s="797"/>
      <c r="T846" s="797"/>
      <c r="U846" s="797"/>
      <c r="V846" s="797"/>
      <c r="W846" s="797"/>
      <c r="X846" s="797"/>
      <c r="Y846" s="797"/>
      <c r="Z846" s="797"/>
      <c r="AA846" s="797"/>
      <c r="AB846" s="798"/>
      <c r="AC846" s="799"/>
      <c r="AD846" s="800"/>
      <c r="AE846" s="800"/>
      <c r="AF846" s="801"/>
      <c r="AG846" s="466"/>
      <c r="AH846" s="467"/>
      <c r="AI846" s="467"/>
      <c r="AJ846" s="468"/>
      <c r="AK846" s="737"/>
      <c r="AL846" s="738"/>
      <c r="AM846" s="738"/>
      <c r="AN846" s="739"/>
      <c r="AO846" s="740"/>
      <c r="AP846" s="741"/>
      <c r="AQ846" s="741"/>
      <c r="AR846" s="742"/>
    </row>
    <row r="847" spans="3:44" ht="18" customHeight="1">
      <c r="C847" s="758"/>
      <c r="D847" s="759"/>
      <c r="E847" s="760"/>
      <c r="F847" s="796"/>
      <c r="G847" s="797"/>
      <c r="H847" s="797"/>
      <c r="I847" s="797"/>
      <c r="J847" s="797"/>
      <c r="K847" s="797"/>
      <c r="L847" s="797"/>
      <c r="M847" s="797"/>
      <c r="N847" s="797"/>
      <c r="O847" s="797"/>
      <c r="P847" s="797"/>
      <c r="Q847" s="797"/>
      <c r="R847" s="797"/>
      <c r="S847" s="797"/>
      <c r="T847" s="797"/>
      <c r="U847" s="797"/>
      <c r="V847" s="797"/>
      <c r="W847" s="797"/>
      <c r="X847" s="797"/>
      <c r="Y847" s="797"/>
      <c r="Z847" s="797"/>
      <c r="AA847" s="797"/>
      <c r="AB847" s="798"/>
      <c r="AC847" s="799"/>
      <c r="AD847" s="800"/>
      <c r="AE847" s="800"/>
      <c r="AF847" s="801"/>
      <c r="AG847" s="466"/>
      <c r="AH847" s="467"/>
      <c r="AI847" s="467"/>
      <c r="AJ847" s="468"/>
      <c r="AK847" s="737"/>
      <c r="AL847" s="738"/>
      <c r="AM847" s="738"/>
      <c r="AN847" s="739"/>
      <c r="AO847" s="740"/>
      <c r="AP847" s="741"/>
      <c r="AQ847" s="741"/>
      <c r="AR847" s="742"/>
    </row>
    <row r="848" spans="3:44" ht="18" customHeight="1">
      <c r="C848" s="743"/>
      <c r="D848" s="744"/>
      <c r="E848" s="744"/>
      <c r="F848" s="744"/>
      <c r="G848" s="744"/>
      <c r="H848" s="744"/>
      <c r="I848" s="744"/>
      <c r="J848" s="744"/>
      <c r="K848" s="744"/>
      <c r="L848" s="744"/>
      <c r="M848" s="744"/>
      <c r="N848" s="744"/>
      <c r="O848" s="744"/>
      <c r="P848" s="744"/>
      <c r="Q848" s="744"/>
      <c r="R848" s="744"/>
      <c r="S848" s="744"/>
      <c r="T848" s="744"/>
      <c r="U848" s="744"/>
      <c r="V848" s="744"/>
      <c r="W848" s="744"/>
      <c r="X848" s="744"/>
      <c r="Y848" s="745" t="s">
        <v>88</v>
      </c>
      <c r="Z848" s="745"/>
      <c r="AA848" s="745"/>
      <c r="AB848" s="745"/>
      <c r="AC848" s="745"/>
      <c r="AD848" s="745"/>
      <c r="AE848" s="745"/>
      <c r="AF848" s="745"/>
      <c r="AG848" s="745"/>
      <c r="AH848" s="745"/>
      <c r="AI848" s="745"/>
      <c r="AJ848" s="745"/>
      <c r="AK848" s="745"/>
      <c r="AL848" s="745"/>
      <c r="AM848" s="745"/>
      <c r="AN848" s="430"/>
      <c r="AO848" s="477">
        <f>SUM(AO840:AR847)</f>
        <v>18206.79</v>
      </c>
      <c r="AP848" s="746"/>
      <c r="AQ848" s="746"/>
      <c r="AR848" s="747"/>
    </row>
    <row r="850" spans="1:44" ht="18" customHeight="1">
      <c r="C850" s="794" t="s">
        <v>43</v>
      </c>
      <c r="D850" s="774"/>
      <c r="E850" s="775"/>
      <c r="F850" s="773" t="s">
        <v>89</v>
      </c>
      <c r="G850" s="774"/>
      <c r="H850" s="774"/>
      <c r="I850" s="774"/>
      <c r="J850" s="774"/>
      <c r="K850" s="774"/>
      <c r="L850" s="774"/>
      <c r="M850" s="774"/>
      <c r="N850" s="774"/>
      <c r="O850" s="774"/>
      <c r="P850" s="774"/>
      <c r="Q850" s="774"/>
      <c r="R850" s="775"/>
      <c r="S850" s="773" t="s">
        <v>90</v>
      </c>
      <c r="T850" s="774"/>
      <c r="U850" s="775"/>
      <c r="V850" s="773" t="s">
        <v>91</v>
      </c>
      <c r="W850" s="774"/>
      <c r="X850" s="775"/>
      <c r="Y850" s="773" t="s">
        <v>92</v>
      </c>
      <c r="Z850" s="774"/>
      <c r="AA850" s="774"/>
      <c r="AB850" s="774"/>
      <c r="AC850" s="774"/>
      <c r="AD850" s="775"/>
      <c r="AE850" s="773" t="s">
        <v>93</v>
      </c>
      <c r="AF850" s="774"/>
      <c r="AG850" s="775"/>
      <c r="AH850" s="773" t="s">
        <v>94</v>
      </c>
      <c r="AI850" s="774"/>
      <c r="AJ850" s="775"/>
      <c r="AK850" s="773" t="s">
        <v>86</v>
      </c>
      <c r="AL850" s="774"/>
      <c r="AM850" s="774"/>
      <c r="AN850" s="775"/>
      <c r="AO850" s="773" t="s">
        <v>87</v>
      </c>
      <c r="AP850" s="774"/>
      <c r="AQ850" s="774"/>
      <c r="AR850" s="779"/>
    </row>
    <row r="851" spans="1:44" ht="18" customHeight="1">
      <c r="C851" s="795"/>
      <c r="D851" s="777"/>
      <c r="E851" s="778"/>
      <c r="F851" s="776"/>
      <c r="G851" s="777"/>
      <c r="H851" s="777"/>
      <c r="I851" s="777"/>
      <c r="J851" s="777"/>
      <c r="K851" s="777"/>
      <c r="L851" s="777"/>
      <c r="M851" s="777"/>
      <c r="N851" s="777"/>
      <c r="O851" s="777"/>
      <c r="P851" s="777"/>
      <c r="Q851" s="777"/>
      <c r="R851" s="778"/>
      <c r="S851" s="776"/>
      <c r="T851" s="777"/>
      <c r="U851" s="778"/>
      <c r="V851" s="776"/>
      <c r="W851" s="777"/>
      <c r="X851" s="778"/>
      <c r="Y851" s="776"/>
      <c r="Z851" s="777"/>
      <c r="AA851" s="777"/>
      <c r="AB851" s="777"/>
      <c r="AC851" s="777"/>
      <c r="AD851" s="778"/>
      <c r="AE851" s="776"/>
      <c r="AF851" s="777"/>
      <c r="AG851" s="778"/>
      <c r="AH851" s="776"/>
      <c r="AI851" s="777"/>
      <c r="AJ851" s="778"/>
      <c r="AK851" s="776"/>
      <c r="AL851" s="777"/>
      <c r="AM851" s="777"/>
      <c r="AN851" s="778"/>
      <c r="AO851" s="776"/>
      <c r="AP851" s="777"/>
      <c r="AQ851" s="777"/>
      <c r="AR851" s="780"/>
    </row>
    <row r="852" spans="1:44" ht="18" customHeight="1">
      <c r="C852" s="781"/>
      <c r="D852" s="782"/>
      <c r="E852" s="783"/>
      <c r="F852" s="457"/>
      <c r="G852" s="457"/>
      <c r="H852" s="457"/>
      <c r="I852" s="457"/>
      <c r="J852" s="457"/>
      <c r="K852" s="457"/>
      <c r="L852" s="457"/>
      <c r="M852" s="457"/>
      <c r="N852" s="457"/>
      <c r="O852" s="457"/>
      <c r="P852" s="457"/>
      <c r="Q852" s="457"/>
      <c r="R852" s="457"/>
      <c r="S852" s="784"/>
      <c r="T852" s="785"/>
      <c r="U852" s="786"/>
      <c r="V852" s="784"/>
      <c r="W852" s="785"/>
      <c r="X852" s="786"/>
      <c r="Y852" s="787"/>
      <c r="Z852" s="788"/>
      <c r="AA852" s="788"/>
      <c r="AB852" s="788"/>
      <c r="AC852" s="788"/>
      <c r="AD852" s="789"/>
      <c r="AE852" s="449"/>
      <c r="AF852" s="449"/>
      <c r="AG852" s="449"/>
      <c r="AH852" s="770"/>
      <c r="AI852" s="771"/>
      <c r="AJ852" s="790"/>
      <c r="AK852" s="791"/>
      <c r="AL852" s="792"/>
      <c r="AM852" s="792"/>
      <c r="AN852" s="793"/>
      <c r="AO852" s="770"/>
      <c r="AP852" s="771"/>
      <c r="AQ852" s="771"/>
      <c r="AR852" s="772"/>
    </row>
    <row r="853" spans="1:44" ht="18" customHeight="1">
      <c r="C853" s="758"/>
      <c r="D853" s="759"/>
      <c r="E853" s="760"/>
      <c r="F853" s="761"/>
      <c r="G853" s="762"/>
      <c r="H853" s="762"/>
      <c r="I853" s="762"/>
      <c r="J853" s="762"/>
      <c r="K853" s="762"/>
      <c r="L853" s="762"/>
      <c r="M853" s="762"/>
      <c r="N853" s="762"/>
      <c r="O853" s="762"/>
      <c r="P853" s="762"/>
      <c r="Q853" s="762"/>
      <c r="R853" s="763"/>
      <c r="S853" s="764"/>
      <c r="T853" s="765"/>
      <c r="U853" s="766"/>
      <c r="V853" s="764"/>
      <c r="W853" s="765"/>
      <c r="X853" s="766"/>
      <c r="Y853" s="767"/>
      <c r="Z853" s="768"/>
      <c r="AA853" s="768"/>
      <c r="AB853" s="768"/>
      <c r="AC853" s="768"/>
      <c r="AD853" s="769"/>
      <c r="AE853" s="740"/>
      <c r="AF853" s="741"/>
      <c r="AG853" s="757"/>
      <c r="AH853" s="740"/>
      <c r="AI853" s="741"/>
      <c r="AJ853" s="757"/>
      <c r="AK853" s="737"/>
      <c r="AL853" s="738"/>
      <c r="AM853" s="738"/>
      <c r="AN853" s="739"/>
      <c r="AO853" s="740">
        <f t="shared" ref="AO853:AO859" si="12">ROUND(AE853*AH853*AK853,2)</f>
        <v>0</v>
      </c>
      <c r="AP853" s="741"/>
      <c r="AQ853" s="741"/>
      <c r="AR853" s="742"/>
    </row>
    <row r="854" spans="1:44" ht="18" customHeight="1">
      <c r="C854" s="758"/>
      <c r="D854" s="759"/>
      <c r="E854" s="760"/>
      <c r="F854" s="761"/>
      <c r="G854" s="762"/>
      <c r="H854" s="762"/>
      <c r="I854" s="762"/>
      <c r="J854" s="762"/>
      <c r="K854" s="762"/>
      <c r="L854" s="762"/>
      <c r="M854" s="762"/>
      <c r="N854" s="762"/>
      <c r="O854" s="762"/>
      <c r="P854" s="762"/>
      <c r="Q854" s="762"/>
      <c r="R854" s="763"/>
      <c r="S854" s="764"/>
      <c r="T854" s="765"/>
      <c r="U854" s="766"/>
      <c r="V854" s="764"/>
      <c r="W854" s="765"/>
      <c r="X854" s="766"/>
      <c r="Y854" s="767"/>
      <c r="Z854" s="768"/>
      <c r="AA854" s="768"/>
      <c r="AB854" s="768"/>
      <c r="AC854" s="768"/>
      <c r="AD854" s="769"/>
      <c r="AE854" s="740"/>
      <c r="AF854" s="741"/>
      <c r="AG854" s="757"/>
      <c r="AH854" s="740"/>
      <c r="AI854" s="741"/>
      <c r="AJ854" s="757"/>
      <c r="AK854" s="737"/>
      <c r="AL854" s="738"/>
      <c r="AM854" s="738"/>
      <c r="AN854" s="739"/>
      <c r="AO854" s="740">
        <f t="shared" si="12"/>
        <v>0</v>
      </c>
      <c r="AP854" s="741"/>
      <c r="AQ854" s="741"/>
      <c r="AR854" s="742"/>
    </row>
    <row r="855" spans="1:44" ht="18" customHeight="1">
      <c r="C855" s="758"/>
      <c r="D855" s="759"/>
      <c r="E855" s="760"/>
      <c r="F855" s="761"/>
      <c r="G855" s="762"/>
      <c r="H855" s="762"/>
      <c r="I855" s="762"/>
      <c r="J855" s="762"/>
      <c r="K855" s="762"/>
      <c r="L855" s="762"/>
      <c r="M855" s="762"/>
      <c r="N855" s="762"/>
      <c r="O855" s="762"/>
      <c r="P855" s="762"/>
      <c r="Q855" s="762"/>
      <c r="R855" s="763"/>
      <c r="S855" s="764"/>
      <c r="T855" s="765"/>
      <c r="U855" s="766"/>
      <c r="V855" s="764"/>
      <c r="W855" s="765"/>
      <c r="X855" s="766"/>
      <c r="Y855" s="767"/>
      <c r="Z855" s="768"/>
      <c r="AA855" s="768"/>
      <c r="AB855" s="768"/>
      <c r="AC855" s="768"/>
      <c r="AD855" s="769"/>
      <c r="AE855" s="740"/>
      <c r="AF855" s="741"/>
      <c r="AG855" s="757"/>
      <c r="AH855" s="740"/>
      <c r="AI855" s="741"/>
      <c r="AJ855" s="757"/>
      <c r="AK855" s="737"/>
      <c r="AL855" s="738"/>
      <c r="AM855" s="738"/>
      <c r="AN855" s="739"/>
      <c r="AO855" s="740">
        <f t="shared" si="12"/>
        <v>0</v>
      </c>
      <c r="AP855" s="741"/>
      <c r="AQ855" s="741"/>
      <c r="AR855" s="742"/>
    </row>
    <row r="856" spans="1:44" ht="18" customHeight="1">
      <c r="C856" s="758"/>
      <c r="D856" s="759"/>
      <c r="E856" s="760"/>
      <c r="F856" s="761"/>
      <c r="G856" s="762"/>
      <c r="H856" s="762"/>
      <c r="I856" s="762"/>
      <c r="J856" s="762"/>
      <c r="K856" s="762"/>
      <c r="L856" s="762"/>
      <c r="M856" s="762"/>
      <c r="N856" s="762"/>
      <c r="O856" s="762"/>
      <c r="P856" s="762"/>
      <c r="Q856" s="762"/>
      <c r="R856" s="763"/>
      <c r="S856" s="764"/>
      <c r="T856" s="765"/>
      <c r="U856" s="766"/>
      <c r="V856" s="764"/>
      <c r="W856" s="765"/>
      <c r="X856" s="766"/>
      <c r="Y856" s="767"/>
      <c r="Z856" s="768"/>
      <c r="AA856" s="768"/>
      <c r="AB856" s="768"/>
      <c r="AC856" s="768"/>
      <c r="AD856" s="769"/>
      <c r="AE856" s="740"/>
      <c r="AF856" s="741"/>
      <c r="AG856" s="757"/>
      <c r="AH856" s="740"/>
      <c r="AI856" s="741"/>
      <c r="AJ856" s="757"/>
      <c r="AK856" s="737"/>
      <c r="AL856" s="738"/>
      <c r="AM856" s="738"/>
      <c r="AN856" s="739"/>
      <c r="AO856" s="740">
        <f t="shared" si="12"/>
        <v>0</v>
      </c>
      <c r="AP856" s="741"/>
      <c r="AQ856" s="741"/>
      <c r="AR856" s="742"/>
    </row>
    <row r="857" spans="1:44" ht="18" customHeight="1">
      <c r="C857" s="758"/>
      <c r="D857" s="759"/>
      <c r="E857" s="760"/>
      <c r="F857" s="761"/>
      <c r="G857" s="762"/>
      <c r="H857" s="762"/>
      <c r="I857" s="762"/>
      <c r="J857" s="762"/>
      <c r="K857" s="762"/>
      <c r="L857" s="762"/>
      <c r="M857" s="762"/>
      <c r="N857" s="762"/>
      <c r="O857" s="762"/>
      <c r="P857" s="762"/>
      <c r="Q857" s="762"/>
      <c r="R857" s="763"/>
      <c r="S857" s="764"/>
      <c r="T857" s="765"/>
      <c r="U857" s="766"/>
      <c r="V857" s="764"/>
      <c r="W857" s="765"/>
      <c r="X857" s="766"/>
      <c r="Y857" s="767"/>
      <c r="Z857" s="768"/>
      <c r="AA857" s="768"/>
      <c r="AB857" s="768"/>
      <c r="AC857" s="768"/>
      <c r="AD857" s="769"/>
      <c r="AE857" s="740"/>
      <c r="AF857" s="741"/>
      <c r="AG857" s="757"/>
      <c r="AH857" s="740"/>
      <c r="AI857" s="741"/>
      <c r="AJ857" s="757"/>
      <c r="AK857" s="737"/>
      <c r="AL857" s="738"/>
      <c r="AM857" s="738"/>
      <c r="AN857" s="739"/>
      <c r="AO857" s="740">
        <f t="shared" si="12"/>
        <v>0</v>
      </c>
      <c r="AP857" s="741"/>
      <c r="AQ857" s="741"/>
      <c r="AR857" s="742"/>
    </row>
    <row r="858" spans="1:44" ht="18" customHeight="1">
      <c r="C858" s="758"/>
      <c r="D858" s="759"/>
      <c r="E858" s="760"/>
      <c r="F858" s="761"/>
      <c r="G858" s="762"/>
      <c r="H858" s="762"/>
      <c r="I858" s="762"/>
      <c r="J858" s="762"/>
      <c r="K858" s="762"/>
      <c r="L858" s="762"/>
      <c r="M858" s="762"/>
      <c r="N858" s="762"/>
      <c r="O858" s="762"/>
      <c r="P858" s="762"/>
      <c r="Q858" s="762"/>
      <c r="R858" s="763"/>
      <c r="S858" s="764"/>
      <c r="T858" s="765"/>
      <c r="U858" s="766"/>
      <c r="V858" s="764"/>
      <c r="W858" s="765"/>
      <c r="X858" s="766"/>
      <c r="Y858" s="767"/>
      <c r="Z858" s="768"/>
      <c r="AA858" s="768"/>
      <c r="AB858" s="768"/>
      <c r="AC858" s="768"/>
      <c r="AD858" s="769"/>
      <c r="AE858" s="740"/>
      <c r="AF858" s="741"/>
      <c r="AG858" s="757"/>
      <c r="AH858" s="740"/>
      <c r="AI858" s="741"/>
      <c r="AJ858" s="757"/>
      <c r="AK858" s="737"/>
      <c r="AL858" s="738"/>
      <c r="AM858" s="738"/>
      <c r="AN858" s="739"/>
      <c r="AO858" s="740">
        <f t="shared" si="12"/>
        <v>0</v>
      </c>
      <c r="AP858" s="741"/>
      <c r="AQ858" s="741"/>
      <c r="AR858" s="742"/>
    </row>
    <row r="859" spans="1:44" ht="18" customHeight="1">
      <c r="C859" s="758"/>
      <c r="D859" s="759"/>
      <c r="E859" s="760"/>
      <c r="F859" s="761"/>
      <c r="G859" s="762"/>
      <c r="H859" s="762"/>
      <c r="I859" s="762"/>
      <c r="J859" s="762"/>
      <c r="K859" s="762"/>
      <c r="L859" s="762"/>
      <c r="M859" s="762"/>
      <c r="N859" s="762"/>
      <c r="O859" s="762"/>
      <c r="P859" s="762"/>
      <c r="Q859" s="762"/>
      <c r="R859" s="763"/>
      <c r="S859" s="764"/>
      <c r="T859" s="765"/>
      <c r="U859" s="766"/>
      <c r="V859" s="764"/>
      <c r="W859" s="765"/>
      <c r="X859" s="766"/>
      <c r="Y859" s="767"/>
      <c r="Z859" s="768"/>
      <c r="AA859" s="768"/>
      <c r="AB859" s="768"/>
      <c r="AC859" s="768"/>
      <c r="AD859" s="769"/>
      <c r="AE859" s="740"/>
      <c r="AF859" s="741"/>
      <c r="AG859" s="757"/>
      <c r="AH859" s="740"/>
      <c r="AI859" s="741"/>
      <c r="AJ859" s="757"/>
      <c r="AK859" s="737"/>
      <c r="AL859" s="738"/>
      <c r="AM859" s="738"/>
      <c r="AN859" s="739"/>
      <c r="AO859" s="740">
        <f t="shared" si="12"/>
        <v>0</v>
      </c>
      <c r="AP859" s="741"/>
      <c r="AQ859" s="741"/>
      <c r="AR859" s="742"/>
    </row>
    <row r="860" spans="1:44" ht="18" customHeight="1">
      <c r="C860" s="743"/>
      <c r="D860" s="744"/>
      <c r="E860" s="744"/>
      <c r="F860" s="744"/>
      <c r="G860" s="744"/>
      <c r="H860" s="744"/>
      <c r="I860" s="744"/>
      <c r="J860" s="744"/>
      <c r="K860" s="744"/>
      <c r="L860" s="744"/>
      <c r="M860" s="744"/>
      <c r="N860" s="744"/>
      <c r="O860" s="744"/>
      <c r="P860" s="744"/>
      <c r="Q860" s="744"/>
      <c r="R860" s="744"/>
      <c r="S860" s="744"/>
      <c r="T860" s="744"/>
      <c r="U860" s="744"/>
      <c r="V860" s="744"/>
      <c r="W860" s="744"/>
      <c r="X860" s="744"/>
      <c r="Y860" s="745" t="s">
        <v>95</v>
      </c>
      <c r="Z860" s="745"/>
      <c r="AA860" s="745"/>
      <c r="AB860" s="745"/>
      <c r="AC860" s="745"/>
      <c r="AD860" s="745"/>
      <c r="AE860" s="745"/>
      <c r="AF860" s="745"/>
      <c r="AG860" s="745"/>
      <c r="AH860" s="745"/>
      <c r="AI860" s="745"/>
      <c r="AJ860" s="745"/>
      <c r="AK860" s="745"/>
      <c r="AL860" s="745"/>
      <c r="AM860" s="745"/>
      <c r="AN860" s="430"/>
      <c r="AO860" s="477">
        <f>SUM(AO852:AR859)</f>
        <v>0</v>
      </c>
      <c r="AP860" s="746"/>
      <c r="AQ860" s="746"/>
      <c r="AR860" s="747"/>
    </row>
    <row r="862" spans="1:44" ht="18" customHeight="1">
      <c r="C862" s="434"/>
      <c r="D862" s="434"/>
      <c r="E862" s="434"/>
      <c r="F862" s="434"/>
      <c r="G862" s="434"/>
      <c r="H862" s="434"/>
      <c r="I862" s="434"/>
      <c r="J862" s="434"/>
      <c r="K862" s="434"/>
      <c r="L862" s="434"/>
      <c r="M862" s="434"/>
      <c r="N862" s="434"/>
      <c r="O862" s="434"/>
      <c r="P862" s="434"/>
      <c r="Q862" s="434"/>
      <c r="R862" s="434"/>
      <c r="S862" s="434"/>
      <c r="T862" s="434"/>
      <c r="U862" s="434"/>
      <c r="V862" s="434"/>
      <c r="W862" s="434"/>
      <c r="X862" s="748"/>
      <c r="Y862" s="749" t="s">
        <v>96</v>
      </c>
      <c r="Z862" s="750"/>
      <c r="AA862" s="750"/>
      <c r="AB862" s="750"/>
      <c r="AC862" s="750"/>
      <c r="AD862" s="750"/>
      <c r="AE862" s="750"/>
      <c r="AF862" s="750"/>
      <c r="AG862" s="750"/>
      <c r="AH862" s="750"/>
      <c r="AI862" s="750"/>
      <c r="AJ862" s="750"/>
      <c r="AK862" s="750"/>
      <c r="AL862" s="750"/>
      <c r="AM862" s="750"/>
      <c r="AN862" s="751"/>
      <c r="AO862" s="752">
        <f>AO836+AO848+AO860</f>
        <v>21196.14</v>
      </c>
      <c r="AP862" s="753"/>
      <c r="AQ862" s="753"/>
      <c r="AR862" s="754"/>
    </row>
    <row r="863" spans="1:44" ht="18" customHeight="1">
      <c r="C863" s="434"/>
      <c r="D863" s="434"/>
      <c r="E863" s="434"/>
      <c r="F863" s="434"/>
      <c r="G863" s="434"/>
      <c r="H863" s="434"/>
      <c r="I863" s="434"/>
      <c r="J863" s="434"/>
      <c r="K863" s="434"/>
      <c r="L863" s="434"/>
      <c r="M863" s="434"/>
      <c r="N863" s="434"/>
      <c r="O863" s="434"/>
      <c r="P863" s="434"/>
      <c r="Q863" s="434"/>
      <c r="R863" s="434"/>
      <c r="S863" s="434"/>
      <c r="T863" s="434"/>
      <c r="U863" s="434"/>
      <c r="V863" s="434"/>
      <c r="W863" s="434"/>
      <c r="X863" s="748"/>
      <c r="Y863" s="755" t="s">
        <v>97</v>
      </c>
      <c r="Z863" s="756"/>
      <c r="AA863" s="756"/>
      <c r="AB863" s="756"/>
      <c r="AC863" s="756"/>
      <c r="AD863" s="756"/>
      <c r="AE863" s="756"/>
      <c r="AF863" s="756"/>
      <c r="AG863" s="756"/>
      <c r="AH863" s="442">
        <v>0.2031</v>
      </c>
      <c r="AI863" s="442"/>
      <c r="AJ863" s="442"/>
      <c r="AK863" s="442"/>
      <c r="AL863" s="442"/>
      <c r="AM863" s="442"/>
      <c r="AN863" s="443"/>
      <c r="AO863" s="728">
        <f>ROUND(AO862*AH863,2)</f>
        <v>4304.9399999999996</v>
      </c>
      <c r="AP863" s="729"/>
      <c r="AQ863" s="729"/>
      <c r="AR863" s="730"/>
    </row>
    <row r="864" spans="1:44" ht="18" customHeight="1">
      <c r="A864" s="415" t="s">
        <v>450</v>
      </c>
      <c r="B864" s="415"/>
      <c r="C864" s="434"/>
      <c r="D864" s="434"/>
      <c r="E864" s="434"/>
      <c r="F864" s="434"/>
      <c r="G864" s="434"/>
      <c r="H864" s="434"/>
      <c r="I864" s="434"/>
      <c r="J864" s="434"/>
      <c r="K864" s="434"/>
      <c r="L864" s="434"/>
      <c r="M864" s="434"/>
      <c r="N864" s="434"/>
      <c r="O864" s="434"/>
      <c r="P864" s="434"/>
      <c r="Q864" s="434"/>
      <c r="R864" s="434"/>
      <c r="S864" s="434"/>
      <c r="T864" s="434"/>
      <c r="U864" s="434"/>
      <c r="V864" s="434"/>
      <c r="W864" s="434"/>
      <c r="X864" s="748"/>
      <c r="Y864" s="731" t="s">
        <v>98</v>
      </c>
      <c r="Z864" s="732"/>
      <c r="AA864" s="732"/>
      <c r="AB864" s="732"/>
      <c r="AC864" s="732"/>
      <c r="AD864" s="732"/>
      <c r="AE864" s="732"/>
      <c r="AF864" s="732"/>
      <c r="AG864" s="732"/>
      <c r="AH864" s="732"/>
      <c r="AI864" s="732"/>
      <c r="AJ864" s="732"/>
      <c r="AK864" s="732"/>
      <c r="AL864" s="732"/>
      <c r="AM864" s="732"/>
      <c r="AN864" s="733"/>
      <c r="AO864" s="734">
        <f>SUM(AO862:AR863)</f>
        <v>25501.079999999998</v>
      </c>
      <c r="AP864" s="735"/>
      <c r="AQ864" s="735"/>
      <c r="AR864" s="736"/>
    </row>
    <row r="866" spans="3:44" ht="18" customHeight="1">
      <c r="C866" s="420" t="s">
        <v>99</v>
      </c>
      <c r="D866" s="421"/>
      <c r="E866" s="421"/>
      <c r="F866" s="421"/>
      <c r="G866" s="421"/>
      <c r="H866" s="421"/>
      <c r="I866" s="422"/>
      <c r="J866" s="422"/>
      <c r="K866" s="422"/>
      <c r="L866" s="422"/>
      <c r="M866" s="422"/>
      <c r="N866" s="422"/>
      <c r="O866" s="422"/>
      <c r="P866" s="422"/>
      <c r="Q866" s="422"/>
      <c r="R866" s="422"/>
      <c r="S866" s="422"/>
      <c r="T866" s="422"/>
      <c r="U866" s="422"/>
      <c r="V866" s="422"/>
      <c r="W866" s="422"/>
      <c r="X866" s="422"/>
      <c r="Y866" s="422"/>
      <c r="Z866" s="422"/>
      <c r="AA866" s="422"/>
      <c r="AB866" s="422"/>
      <c r="AC866" s="422"/>
      <c r="AD866" s="422"/>
      <c r="AE866" s="422"/>
      <c r="AF866" s="422"/>
      <c r="AG866" s="422"/>
      <c r="AH866" s="422"/>
      <c r="AI866" s="422"/>
      <c r="AJ866" s="422"/>
      <c r="AK866" s="422"/>
      <c r="AL866" s="422"/>
      <c r="AM866" s="422"/>
      <c r="AN866" s="422"/>
      <c r="AO866" s="422"/>
      <c r="AP866" s="422"/>
      <c r="AQ866" s="422"/>
      <c r="AR866" s="423"/>
    </row>
    <row r="867" spans="3:44" ht="18" customHeight="1">
      <c r="C867" s="411"/>
      <c r="D867" s="412"/>
      <c r="E867" s="412"/>
      <c r="F867" s="412"/>
      <c r="G867" s="412"/>
      <c r="H867" s="412"/>
      <c r="I867" s="409"/>
      <c r="J867" s="409"/>
      <c r="K867" s="409"/>
      <c r="L867" s="409"/>
      <c r="M867" s="409"/>
      <c r="N867" s="409"/>
      <c r="O867" s="409"/>
      <c r="P867" s="409"/>
      <c r="Q867" s="409"/>
      <c r="R867" s="409"/>
      <c r="S867" s="409"/>
      <c r="T867" s="409"/>
      <c r="U867" s="409"/>
      <c r="V867" s="409"/>
      <c r="W867" s="409"/>
      <c r="X867" s="409"/>
      <c r="Y867" s="409"/>
      <c r="Z867" s="409"/>
      <c r="AA867" s="409"/>
      <c r="AB867" s="409"/>
      <c r="AC867" s="409"/>
      <c r="AD867" s="409"/>
      <c r="AE867" s="409"/>
      <c r="AF867" s="409"/>
      <c r="AG867" s="409"/>
      <c r="AH867" s="409"/>
      <c r="AI867" s="409"/>
      <c r="AJ867" s="409"/>
      <c r="AK867" s="409"/>
      <c r="AL867" s="409"/>
      <c r="AM867" s="409"/>
      <c r="AN867" s="409"/>
      <c r="AO867" s="409"/>
      <c r="AP867" s="409"/>
      <c r="AQ867" s="409"/>
      <c r="AR867" s="410"/>
    </row>
    <row r="868" spans="3:44" ht="18" customHeight="1">
      <c r="C868" s="411"/>
      <c r="D868" s="412"/>
      <c r="E868" s="412"/>
      <c r="F868" s="412"/>
      <c r="G868" s="412"/>
      <c r="H868" s="412"/>
      <c r="I868" s="409"/>
      <c r="J868" s="409"/>
      <c r="K868" s="409"/>
      <c r="L868" s="409"/>
      <c r="M868" s="409"/>
      <c r="N868" s="409"/>
      <c r="O868" s="409"/>
      <c r="P868" s="409"/>
      <c r="Q868" s="409"/>
      <c r="R868" s="409"/>
      <c r="S868" s="409"/>
      <c r="T868" s="409"/>
      <c r="U868" s="409"/>
      <c r="V868" s="409"/>
      <c r="W868" s="409"/>
      <c r="X868" s="409"/>
      <c r="Y868" s="409"/>
      <c r="Z868" s="409"/>
      <c r="AA868" s="409"/>
      <c r="AB868" s="409"/>
      <c r="AC868" s="409"/>
      <c r="AD868" s="409"/>
      <c r="AE868" s="409"/>
      <c r="AF868" s="409"/>
      <c r="AG868" s="409"/>
      <c r="AH868" s="409"/>
      <c r="AI868" s="409"/>
      <c r="AJ868" s="409"/>
      <c r="AK868" s="409"/>
      <c r="AL868" s="409"/>
      <c r="AM868" s="409"/>
      <c r="AN868" s="409"/>
      <c r="AO868" s="409"/>
      <c r="AP868" s="409"/>
      <c r="AQ868" s="409"/>
      <c r="AR868" s="410"/>
    </row>
    <row r="869" spans="3:44" ht="18" customHeight="1">
      <c r="C869" s="411"/>
      <c r="D869" s="412"/>
      <c r="E869" s="412"/>
      <c r="F869" s="412"/>
      <c r="G869" s="412"/>
      <c r="H869" s="412"/>
      <c r="I869" s="409"/>
      <c r="J869" s="409"/>
      <c r="K869" s="409"/>
      <c r="L869" s="409"/>
      <c r="M869" s="409"/>
      <c r="N869" s="409"/>
      <c r="O869" s="409"/>
      <c r="P869" s="409"/>
      <c r="Q869" s="409"/>
      <c r="R869" s="409"/>
      <c r="S869" s="409"/>
      <c r="T869" s="409"/>
      <c r="U869" s="409"/>
      <c r="V869" s="409"/>
      <c r="W869" s="409"/>
      <c r="X869" s="409"/>
      <c r="Y869" s="409"/>
      <c r="Z869" s="409"/>
      <c r="AA869" s="409"/>
      <c r="AB869" s="409"/>
      <c r="AC869" s="409"/>
      <c r="AD869" s="409"/>
      <c r="AE869" s="409"/>
      <c r="AF869" s="409"/>
      <c r="AG869" s="409"/>
      <c r="AH869" s="409"/>
      <c r="AI869" s="409"/>
      <c r="AJ869" s="409"/>
      <c r="AK869" s="409"/>
      <c r="AL869" s="409"/>
      <c r="AM869" s="409"/>
      <c r="AN869" s="409"/>
      <c r="AO869" s="409"/>
      <c r="AP869" s="409"/>
      <c r="AQ869" s="409"/>
      <c r="AR869" s="410"/>
    </row>
    <row r="870" spans="3:44" ht="18" customHeight="1">
      <c r="C870" s="411"/>
      <c r="D870" s="412"/>
      <c r="E870" s="412"/>
      <c r="F870" s="412"/>
      <c r="G870" s="412"/>
      <c r="H870" s="412"/>
      <c r="I870" s="409"/>
      <c r="J870" s="409"/>
      <c r="K870" s="409"/>
      <c r="L870" s="409"/>
      <c r="M870" s="409"/>
      <c r="N870" s="409"/>
      <c r="O870" s="409"/>
      <c r="P870" s="409"/>
      <c r="Q870" s="409"/>
      <c r="R870" s="409"/>
      <c r="S870" s="409"/>
      <c r="T870" s="409"/>
      <c r="U870" s="409"/>
      <c r="V870" s="409"/>
      <c r="W870" s="409"/>
      <c r="X870" s="409"/>
      <c r="Y870" s="409"/>
      <c r="Z870" s="409"/>
      <c r="AA870" s="409"/>
      <c r="AB870" s="409"/>
      <c r="AC870" s="409"/>
      <c r="AD870" s="409"/>
      <c r="AE870" s="409"/>
      <c r="AF870" s="409"/>
      <c r="AG870" s="409"/>
      <c r="AH870" s="409"/>
      <c r="AI870" s="409"/>
      <c r="AJ870" s="409"/>
      <c r="AK870" s="409"/>
      <c r="AL870" s="409"/>
      <c r="AM870" s="409"/>
      <c r="AN870" s="409"/>
      <c r="AO870" s="409"/>
      <c r="AP870" s="409"/>
      <c r="AQ870" s="409"/>
      <c r="AR870" s="410"/>
    </row>
    <row r="871" spans="3:44" ht="18" customHeight="1">
      <c r="C871" s="385"/>
      <c r="D871" s="386"/>
      <c r="E871" s="386"/>
      <c r="F871" s="386"/>
      <c r="G871" s="386"/>
      <c r="H871" s="386"/>
      <c r="I871" s="387"/>
      <c r="J871" s="387"/>
      <c r="K871" s="387"/>
      <c r="L871" s="387"/>
      <c r="M871" s="387"/>
      <c r="N871" s="387"/>
      <c r="O871" s="387"/>
      <c r="P871" s="387"/>
      <c r="Q871" s="387"/>
      <c r="R871" s="387"/>
      <c r="S871" s="387"/>
      <c r="T871" s="387"/>
      <c r="U871" s="387"/>
      <c r="V871" s="387"/>
      <c r="W871" s="387"/>
      <c r="X871" s="387"/>
      <c r="Y871" s="387"/>
      <c r="Z871" s="387"/>
      <c r="AA871" s="387"/>
      <c r="AB871" s="387"/>
      <c r="AC871" s="387"/>
      <c r="AD871" s="387"/>
      <c r="AE871" s="387"/>
      <c r="AF871" s="387"/>
      <c r="AG871" s="387"/>
      <c r="AH871" s="387"/>
      <c r="AI871" s="387"/>
      <c r="AJ871" s="387"/>
      <c r="AK871" s="387"/>
      <c r="AL871" s="387"/>
      <c r="AM871" s="387"/>
      <c r="AN871" s="387"/>
      <c r="AO871" s="387"/>
      <c r="AP871" s="387"/>
      <c r="AQ871" s="387"/>
      <c r="AR871" s="388"/>
    </row>
    <row r="873" spans="3:44" ht="18" customHeight="1">
      <c r="C873" s="389" t="s">
        <v>100</v>
      </c>
      <c r="D873" s="390"/>
      <c r="E873" s="390"/>
      <c r="F873" s="390"/>
      <c r="G873" s="390"/>
      <c r="H873" s="390"/>
      <c r="I873" s="390"/>
      <c r="J873" s="390"/>
      <c r="K873" s="390"/>
      <c r="L873" s="390"/>
      <c r="M873" s="390"/>
      <c r="N873" s="390"/>
      <c r="O873" s="390"/>
      <c r="P873" s="390"/>
      <c r="Q873" s="390"/>
      <c r="R873" s="390"/>
      <c r="S873" s="390"/>
      <c r="T873" s="390"/>
      <c r="U873" s="390"/>
      <c r="V873" s="390"/>
      <c r="W873" s="390"/>
      <c r="X873" s="390"/>
      <c r="Y873" s="390"/>
      <c r="Z873" s="390"/>
      <c r="AA873" s="391"/>
      <c r="AB873" s="392" t="str">
        <f>[4]C.UNIT.SERV.!$E$5</f>
        <v>DATA-BASE:      MAIO/2011/PR</v>
      </c>
      <c r="AC873" s="393"/>
      <c r="AD873" s="393"/>
      <c r="AE873" s="393"/>
      <c r="AF873" s="393"/>
      <c r="AG873" s="393"/>
      <c r="AH873" s="393"/>
      <c r="AI873" s="394"/>
      <c r="AJ873" s="392"/>
      <c r="AK873" s="393"/>
      <c r="AL873" s="393"/>
      <c r="AM873" s="393"/>
      <c r="AN873" s="393"/>
      <c r="AO873" s="393"/>
      <c r="AP873" s="393"/>
      <c r="AQ873" s="393"/>
      <c r="AR873" s="401"/>
    </row>
    <row r="874" spans="3:44" ht="18" customHeight="1">
      <c r="C874" s="404" t="s">
        <v>101</v>
      </c>
      <c r="D874" s="405"/>
      <c r="E874" s="405"/>
      <c r="F874" s="405"/>
      <c r="G874" s="405" t="s">
        <v>283</v>
      </c>
      <c r="H874" s="405"/>
      <c r="I874" s="405"/>
      <c r="J874" s="405"/>
      <c r="K874" s="405"/>
      <c r="L874" s="405"/>
      <c r="M874" s="405"/>
      <c r="N874" s="405"/>
      <c r="O874" s="405"/>
      <c r="P874" s="405"/>
      <c r="Q874" s="405"/>
      <c r="R874" s="405"/>
      <c r="S874" s="405"/>
      <c r="T874" s="405"/>
      <c r="U874" s="405"/>
      <c r="V874" s="405"/>
      <c r="W874" s="405"/>
      <c r="X874" s="405"/>
      <c r="Y874" s="405"/>
      <c r="Z874" s="405"/>
      <c r="AA874" s="406"/>
      <c r="AB874" s="395"/>
      <c r="AC874" s="396"/>
      <c r="AD874" s="396"/>
      <c r="AE874" s="396"/>
      <c r="AF874" s="396"/>
      <c r="AG874" s="396"/>
      <c r="AH874" s="396"/>
      <c r="AI874" s="397"/>
      <c r="AJ874" s="395"/>
      <c r="AK874" s="396"/>
      <c r="AL874" s="396"/>
      <c r="AM874" s="396"/>
      <c r="AN874" s="396"/>
      <c r="AO874" s="396"/>
      <c r="AP874" s="396"/>
      <c r="AQ874" s="396"/>
      <c r="AR874" s="402"/>
    </row>
    <row r="875" spans="3:44" ht="18" customHeight="1">
      <c r="C875" s="404" t="s">
        <v>102</v>
      </c>
      <c r="D875" s="405"/>
      <c r="E875" s="405"/>
      <c r="F875" s="405"/>
      <c r="G875" s="405"/>
      <c r="H875" s="405"/>
      <c r="I875" s="405"/>
      <c r="J875" s="405"/>
      <c r="K875" s="405"/>
      <c r="L875" s="405"/>
      <c r="M875" s="405"/>
      <c r="N875" s="405"/>
      <c r="O875" s="405"/>
      <c r="P875" s="405"/>
      <c r="Q875" s="405"/>
      <c r="R875" s="405"/>
      <c r="S875" s="405"/>
      <c r="T875" s="405"/>
      <c r="U875" s="405"/>
      <c r="V875" s="405"/>
      <c r="W875" s="405"/>
      <c r="X875" s="405"/>
      <c r="Y875" s="405"/>
      <c r="Z875" s="405"/>
      <c r="AA875" s="406"/>
      <c r="AB875" s="395"/>
      <c r="AC875" s="396"/>
      <c r="AD875" s="396"/>
      <c r="AE875" s="396"/>
      <c r="AF875" s="396"/>
      <c r="AG875" s="396"/>
      <c r="AH875" s="396"/>
      <c r="AI875" s="397"/>
      <c r="AJ875" s="395"/>
      <c r="AK875" s="396"/>
      <c r="AL875" s="396"/>
      <c r="AM875" s="396"/>
      <c r="AN875" s="396"/>
      <c r="AO875" s="396"/>
      <c r="AP875" s="396"/>
      <c r="AQ875" s="396"/>
      <c r="AR875" s="402"/>
    </row>
    <row r="876" spans="3:44" ht="18" customHeight="1">
      <c r="C876" s="407"/>
      <c r="D876" s="408"/>
      <c r="E876" s="408"/>
      <c r="F876" s="408"/>
      <c r="G876" s="408"/>
      <c r="H876" s="408"/>
      <c r="I876" s="408"/>
      <c r="J876" s="408"/>
      <c r="K876" s="408"/>
      <c r="L876" s="408"/>
      <c r="M876" s="408"/>
      <c r="N876" s="408"/>
      <c r="O876" s="408"/>
      <c r="P876" s="408"/>
      <c r="Q876" s="408"/>
      <c r="R876" s="408"/>
      <c r="S876" s="408"/>
      <c r="T876" s="408"/>
      <c r="U876" s="408"/>
      <c r="V876" s="408"/>
      <c r="W876" s="408"/>
      <c r="X876" s="408"/>
      <c r="Y876" s="408"/>
      <c r="Z876" s="408"/>
      <c r="AA876" s="408"/>
      <c r="AB876" s="398"/>
      <c r="AC876" s="399"/>
      <c r="AD876" s="399"/>
      <c r="AE876" s="399"/>
      <c r="AF876" s="399"/>
      <c r="AG876" s="399"/>
      <c r="AH876" s="399"/>
      <c r="AI876" s="400"/>
      <c r="AJ876" s="398"/>
      <c r="AK876" s="399"/>
      <c r="AL876" s="399"/>
      <c r="AM876" s="399"/>
      <c r="AN876" s="399"/>
      <c r="AO876" s="399"/>
      <c r="AP876" s="399"/>
      <c r="AQ876" s="399"/>
      <c r="AR876" s="403"/>
    </row>
    <row r="878" spans="3:44" ht="18" customHeight="1">
      <c r="C878" s="850" t="s">
        <v>64</v>
      </c>
      <c r="D878" s="851"/>
      <c r="E878" s="851"/>
      <c r="F878" s="851"/>
      <c r="G878" s="851"/>
      <c r="H878" s="851"/>
      <c r="I878" s="851"/>
      <c r="J878" s="851"/>
      <c r="K878" s="851"/>
      <c r="L878" s="851"/>
      <c r="M878" s="851"/>
      <c r="N878" s="851"/>
      <c r="O878" s="851"/>
      <c r="P878" s="851"/>
      <c r="Q878" s="851"/>
      <c r="R878" s="851"/>
      <c r="S878" s="851"/>
      <c r="T878" s="851"/>
      <c r="U878" s="851"/>
      <c r="V878" s="851"/>
      <c r="W878" s="851"/>
      <c r="X878" s="851"/>
      <c r="Y878" s="851"/>
      <c r="Z878" s="851"/>
      <c r="AA878" s="851"/>
      <c r="AB878" s="851"/>
      <c r="AC878" s="851"/>
      <c r="AD878" s="851"/>
      <c r="AE878" s="851"/>
      <c r="AF878" s="851"/>
      <c r="AG878" s="851"/>
      <c r="AH878" s="851"/>
      <c r="AI878" s="851"/>
      <c r="AJ878" s="851"/>
      <c r="AK878" s="851"/>
      <c r="AL878" s="851"/>
      <c r="AM878" s="851"/>
      <c r="AN878" s="851"/>
      <c r="AO878" s="851"/>
      <c r="AP878" s="851"/>
      <c r="AQ878" s="851"/>
      <c r="AR878" s="852"/>
    </row>
    <row r="879" spans="3:44" ht="18" customHeight="1">
      <c r="C879" s="853"/>
      <c r="D879" s="854"/>
      <c r="E879" s="854"/>
      <c r="F879" s="854"/>
      <c r="G879" s="854"/>
      <c r="H879" s="854"/>
      <c r="I879" s="854"/>
      <c r="J879" s="854"/>
      <c r="K879" s="854"/>
      <c r="L879" s="854"/>
      <c r="M879" s="854"/>
      <c r="N879" s="854"/>
      <c r="O879" s="854"/>
      <c r="P879" s="854"/>
      <c r="Q879" s="854"/>
      <c r="R879" s="854"/>
      <c r="S879" s="854"/>
      <c r="T879" s="854"/>
      <c r="U879" s="854"/>
      <c r="V879" s="854"/>
      <c r="W879" s="854"/>
      <c r="X879" s="854"/>
      <c r="Y879" s="854"/>
      <c r="Z879" s="854"/>
      <c r="AA879" s="854"/>
      <c r="AB879" s="854"/>
      <c r="AC879" s="854"/>
      <c r="AD879" s="854"/>
      <c r="AE879" s="854"/>
      <c r="AF879" s="854"/>
      <c r="AG879" s="854"/>
      <c r="AH879" s="854"/>
      <c r="AI879" s="854"/>
      <c r="AJ879" s="854"/>
      <c r="AK879" s="854"/>
      <c r="AL879" s="854"/>
      <c r="AM879" s="854"/>
      <c r="AN879" s="854"/>
      <c r="AO879" s="854"/>
      <c r="AP879" s="854"/>
      <c r="AQ879" s="854"/>
      <c r="AR879" s="855"/>
    </row>
    <row r="880" spans="3:44" ht="18" customHeight="1">
      <c r="C880" s="856" t="s">
        <v>65</v>
      </c>
      <c r="D880" s="857"/>
      <c r="E880" s="857"/>
      <c r="F880" s="857"/>
      <c r="G880" s="860" t="s">
        <v>452</v>
      </c>
      <c r="H880" s="860"/>
      <c r="I880" s="860"/>
      <c r="J880" s="861"/>
      <c r="K880" s="864" t="s">
        <v>66</v>
      </c>
      <c r="L880" s="865"/>
      <c r="M880" s="865"/>
      <c r="N880" s="865"/>
      <c r="O880" s="526" t="s">
        <v>632</v>
      </c>
      <c r="P880" s="526"/>
      <c r="Q880" s="526"/>
      <c r="R880" s="526"/>
      <c r="S880" s="526"/>
      <c r="T880" s="526"/>
      <c r="U880" s="526"/>
      <c r="V880" s="526"/>
      <c r="W880" s="526"/>
      <c r="X880" s="526"/>
      <c r="Y880" s="526"/>
      <c r="Z880" s="526"/>
      <c r="AA880" s="526"/>
      <c r="AB880" s="526"/>
      <c r="AC880" s="526"/>
      <c r="AD880" s="526"/>
      <c r="AE880" s="526"/>
      <c r="AF880" s="526"/>
      <c r="AG880" s="526"/>
      <c r="AH880" s="526"/>
      <c r="AI880" s="526"/>
      <c r="AJ880" s="526"/>
      <c r="AK880" s="527"/>
      <c r="AL880" s="864" t="s">
        <v>67</v>
      </c>
      <c r="AM880" s="865"/>
      <c r="AN880" s="865"/>
      <c r="AO880" s="865"/>
      <c r="AP880" s="843" t="s">
        <v>194</v>
      </c>
      <c r="AQ880" s="843"/>
      <c r="AR880" s="844"/>
    </row>
    <row r="881" spans="3:44" ht="18" customHeight="1">
      <c r="C881" s="858"/>
      <c r="D881" s="859"/>
      <c r="E881" s="859"/>
      <c r="F881" s="859"/>
      <c r="G881" s="862"/>
      <c r="H881" s="862"/>
      <c r="I881" s="862"/>
      <c r="J881" s="863"/>
      <c r="K881" s="866"/>
      <c r="L881" s="867"/>
      <c r="M881" s="867"/>
      <c r="N881" s="867"/>
      <c r="O881" s="528"/>
      <c r="P881" s="528"/>
      <c r="Q881" s="528"/>
      <c r="R881" s="528"/>
      <c r="S881" s="528"/>
      <c r="T881" s="528"/>
      <c r="U881" s="528"/>
      <c r="V881" s="528"/>
      <c r="W881" s="528"/>
      <c r="X881" s="528"/>
      <c r="Y881" s="528"/>
      <c r="Z881" s="528"/>
      <c r="AA881" s="528"/>
      <c r="AB881" s="528"/>
      <c r="AC881" s="528"/>
      <c r="AD881" s="528"/>
      <c r="AE881" s="528"/>
      <c r="AF881" s="528"/>
      <c r="AG881" s="528"/>
      <c r="AH881" s="528"/>
      <c r="AI881" s="528"/>
      <c r="AJ881" s="528"/>
      <c r="AK881" s="529"/>
      <c r="AL881" s="866"/>
      <c r="AM881" s="867"/>
      <c r="AN881" s="867"/>
      <c r="AO881" s="867"/>
      <c r="AP881" s="845"/>
      <c r="AQ881" s="845"/>
      <c r="AR881" s="846"/>
    </row>
    <row r="883" spans="3:44" ht="18" customHeight="1">
      <c r="C883" s="794" t="s">
        <v>43</v>
      </c>
      <c r="D883" s="774"/>
      <c r="E883" s="775"/>
      <c r="F883" s="773" t="s">
        <v>68</v>
      </c>
      <c r="G883" s="774"/>
      <c r="H883" s="774"/>
      <c r="I883" s="774"/>
      <c r="J883" s="774"/>
      <c r="K883" s="774"/>
      <c r="L883" s="774"/>
      <c r="M883" s="774"/>
      <c r="N883" s="774"/>
      <c r="O883" s="774"/>
      <c r="P883" s="774"/>
      <c r="Q883" s="774"/>
      <c r="R883" s="774"/>
      <c r="S883" s="774"/>
      <c r="T883" s="774"/>
      <c r="U883" s="775"/>
      <c r="V883" s="773" t="s">
        <v>249</v>
      </c>
      <c r="W883" s="774"/>
      <c r="X883" s="775"/>
      <c r="Y883" s="847" t="s">
        <v>69</v>
      </c>
      <c r="Z883" s="848"/>
      <c r="AA883" s="848"/>
      <c r="AB883" s="848"/>
      <c r="AC883" s="848"/>
      <c r="AD883" s="848"/>
      <c r="AE883" s="848"/>
      <c r="AF883" s="849"/>
      <c r="AG883" s="847" t="s">
        <v>70</v>
      </c>
      <c r="AH883" s="848"/>
      <c r="AI883" s="848"/>
      <c r="AJ883" s="848"/>
      <c r="AK883" s="848"/>
      <c r="AL883" s="848"/>
      <c r="AM883" s="848"/>
      <c r="AN883" s="849"/>
      <c r="AO883" s="773" t="s">
        <v>71</v>
      </c>
      <c r="AP883" s="774"/>
      <c r="AQ883" s="774"/>
      <c r="AR883" s="779"/>
    </row>
    <row r="884" spans="3:44" ht="18" customHeight="1">
      <c r="C884" s="795"/>
      <c r="D884" s="777"/>
      <c r="E884" s="778"/>
      <c r="F884" s="776"/>
      <c r="G884" s="777"/>
      <c r="H884" s="777"/>
      <c r="I884" s="777"/>
      <c r="J884" s="777"/>
      <c r="K884" s="777"/>
      <c r="L884" s="777"/>
      <c r="M884" s="777"/>
      <c r="N884" s="777"/>
      <c r="O884" s="777"/>
      <c r="P884" s="777"/>
      <c r="Q884" s="777"/>
      <c r="R884" s="777"/>
      <c r="S884" s="777"/>
      <c r="T884" s="777"/>
      <c r="U884" s="778"/>
      <c r="V884" s="776"/>
      <c r="W884" s="777"/>
      <c r="X884" s="778"/>
      <c r="Y884" s="834" t="s">
        <v>72</v>
      </c>
      <c r="Z884" s="835"/>
      <c r="AA884" s="835"/>
      <c r="AB884" s="836"/>
      <c r="AC884" s="834" t="s">
        <v>73</v>
      </c>
      <c r="AD884" s="835"/>
      <c r="AE884" s="835"/>
      <c r="AF884" s="836"/>
      <c r="AG884" s="834" t="s">
        <v>72</v>
      </c>
      <c r="AH884" s="835"/>
      <c r="AI884" s="835"/>
      <c r="AJ884" s="836"/>
      <c r="AK884" s="834" t="s">
        <v>73</v>
      </c>
      <c r="AL884" s="835"/>
      <c r="AM884" s="835"/>
      <c r="AN884" s="836"/>
      <c r="AO884" s="776"/>
      <c r="AP884" s="777"/>
      <c r="AQ884" s="777"/>
      <c r="AR884" s="780"/>
    </row>
    <row r="885" spans="3:44" ht="18" customHeight="1">
      <c r="C885" s="781" t="s">
        <v>1386</v>
      </c>
      <c r="D885" s="782"/>
      <c r="E885" s="783"/>
      <c r="F885" s="493" t="s">
        <v>628</v>
      </c>
      <c r="G885" s="493"/>
      <c r="H885" s="493"/>
      <c r="I885" s="493"/>
      <c r="J885" s="493"/>
      <c r="K885" s="493"/>
      <c r="L885" s="493"/>
      <c r="M885" s="493"/>
      <c r="N885" s="493"/>
      <c r="O885" s="493"/>
      <c r="P885" s="493"/>
      <c r="Q885" s="493"/>
      <c r="R885" s="493"/>
      <c r="S885" s="493"/>
      <c r="T885" s="493"/>
      <c r="U885" s="493"/>
      <c r="V885" s="837">
        <v>0.56999999999999995</v>
      </c>
      <c r="W885" s="838"/>
      <c r="X885" s="839"/>
      <c r="Y885" s="837">
        <v>1</v>
      </c>
      <c r="Z885" s="838"/>
      <c r="AA885" s="838"/>
      <c r="AB885" s="839"/>
      <c r="AC885" s="868">
        <v>0</v>
      </c>
      <c r="AD885" s="869"/>
      <c r="AE885" s="869"/>
      <c r="AF885" s="870"/>
      <c r="AG885" s="491">
        <f>VLOOKUP(C885,[4]EQUIPAMENTOS!A$1:D$65536,3,FALSE)</f>
        <v>120.4585</v>
      </c>
      <c r="AH885" s="491"/>
      <c r="AI885" s="491"/>
      <c r="AJ885" s="491"/>
      <c r="AK885" s="491">
        <f>VLOOKUP(C885,[4]EQUIPAMENTOS!A$1:D$65536,4,FALSE)</f>
        <v>17.939399999999999</v>
      </c>
      <c r="AL885" s="491"/>
      <c r="AM885" s="491"/>
      <c r="AN885" s="491"/>
      <c r="AO885" s="491">
        <f>ROUND((Y885*AG885+AC885*AK885)*V885,2)</f>
        <v>68.66</v>
      </c>
      <c r="AP885" s="491"/>
      <c r="AQ885" s="491"/>
      <c r="AR885" s="492"/>
    </row>
    <row r="886" spans="3:44" ht="18" customHeight="1">
      <c r="C886" s="758" t="s">
        <v>1387</v>
      </c>
      <c r="D886" s="759"/>
      <c r="E886" s="760"/>
      <c r="F886" s="493" t="s">
        <v>629</v>
      </c>
      <c r="G886" s="493"/>
      <c r="H886" s="493"/>
      <c r="I886" s="493"/>
      <c r="J886" s="493"/>
      <c r="K886" s="493"/>
      <c r="L886" s="493"/>
      <c r="M886" s="493"/>
      <c r="N886" s="493"/>
      <c r="O886" s="493"/>
      <c r="P886" s="493"/>
      <c r="Q886" s="493"/>
      <c r="R886" s="493"/>
      <c r="S886" s="493"/>
      <c r="T886" s="493"/>
      <c r="U886" s="493"/>
      <c r="V886" s="466">
        <v>0.09</v>
      </c>
      <c r="W886" s="467"/>
      <c r="X886" s="468"/>
      <c r="Y886" s="466">
        <v>1</v>
      </c>
      <c r="Z886" s="467"/>
      <c r="AA886" s="467"/>
      <c r="AB886" s="468"/>
      <c r="AC886" s="828">
        <v>0</v>
      </c>
      <c r="AD886" s="829"/>
      <c r="AE886" s="829"/>
      <c r="AF886" s="830"/>
      <c r="AG886" s="491">
        <f>VLOOKUP(C886,[4]EQUIPAMENTOS!A$1:D$65536,3,FALSE)</f>
        <v>123.3065</v>
      </c>
      <c r="AH886" s="491"/>
      <c r="AI886" s="491"/>
      <c r="AJ886" s="491"/>
      <c r="AK886" s="491">
        <f>VLOOKUP(C886,[4]EQUIPAMENTOS!A$1:D$65536,4,FALSE)</f>
        <v>17.939399999999999</v>
      </c>
      <c r="AL886" s="491"/>
      <c r="AM886" s="491"/>
      <c r="AN886" s="491"/>
      <c r="AO886" s="491">
        <f>ROUND((Y886*AG886+AC886*AK886)*V886,2)</f>
        <v>11.1</v>
      </c>
      <c r="AP886" s="491"/>
      <c r="AQ886" s="491"/>
      <c r="AR886" s="492"/>
    </row>
    <row r="887" spans="3:44" ht="18" customHeight="1">
      <c r="C887" s="758"/>
      <c r="D887" s="759"/>
      <c r="E887" s="760"/>
      <c r="F887" s="493"/>
      <c r="G887" s="493"/>
      <c r="H887" s="493"/>
      <c r="I887" s="493"/>
      <c r="J887" s="493"/>
      <c r="K887" s="493"/>
      <c r="L887" s="493"/>
      <c r="M887" s="493"/>
      <c r="N887" s="493"/>
      <c r="O887" s="493"/>
      <c r="P887" s="493"/>
      <c r="Q887" s="493"/>
      <c r="R887" s="493"/>
      <c r="S887" s="493"/>
      <c r="T887" s="493"/>
      <c r="U887" s="493"/>
      <c r="V887" s="466"/>
      <c r="W887" s="467"/>
      <c r="X887" s="468"/>
      <c r="Y887" s="466"/>
      <c r="Z887" s="467"/>
      <c r="AA887" s="467"/>
      <c r="AB887" s="468"/>
      <c r="AC887" s="828"/>
      <c r="AD887" s="829"/>
      <c r="AE887" s="829"/>
      <c r="AF887" s="830"/>
      <c r="AG887" s="491"/>
      <c r="AH887" s="491"/>
      <c r="AI887" s="491"/>
      <c r="AJ887" s="491"/>
      <c r="AK887" s="491"/>
      <c r="AL887" s="491"/>
      <c r="AM887" s="491"/>
      <c r="AN887" s="491"/>
      <c r="AO887" s="491"/>
      <c r="AP887" s="491"/>
      <c r="AQ887" s="491"/>
      <c r="AR887" s="492"/>
    </row>
    <row r="888" spans="3:44" ht="18" customHeight="1">
      <c r="C888" s="758"/>
      <c r="D888" s="759"/>
      <c r="E888" s="760"/>
      <c r="F888" s="493"/>
      <c r="G888" s="493"/>
      <c r="H888" s="493"/>
      <c r="I888" s="493"/>
      <c r="J888" s="493"/>
      <c r="K888" s="493"/>
      <c r="L888" s="493"/>
      <c r="M888" s="493"/>
      <c r="N888" s="493"/>
      <c r="O888" s="493"/>
      <c r="P888" s="493"/>
      <c r="Q888" s="493"/>
      <c r="R888" s="493"/>
      <c r="S888" s="493"/>
      <c r="T888" s="493"/>
      <c r="U888" s="493"/>
      <c r="V888" s="466"/>
      <c r="W888" s="467"/>
      <c r="X888" s="468"/>
      <c r="Y888" s="466"/>
      <c r="Z888" s="467"/>
      <c r="AA888" s="467"/>
      <c r="AB888" s="468"/>
      <c r="AC888" s="828"/>
      <c r="AD888" s="829"/>
      <c r="AE888" s="829"/>
      <c r="AF888" s="830"/>
      <c r="AG888" s="491"/>
      <c r="AH888" s="491"/>
      <c r="AI888" s="491"/>
      <c r="AJ888" s="491"/>
      <c r="AK888" s="491"/>
      <c r="AL888" s="491"/>
      <c r="AM888" s="491"/>
      <c r="AN888" s="491"/>
      <c r="AO888" s="491"/>
      <c r="AP888" s="491"/>
      <c r="AQ888" s="491"/>
      <c r="AR888" s="492"/>
    </row>
    <row r="889" spans="3:44" ht="18" customHeight="1">
      <c r="C889" s="758"/>
      <c r="D889" s="759"/>
      <c r="E889" s="760"/>
      <c r="F889" s="493"/>
      <c r="G889" s="493"/>
      <c r="H889" s="493"/>
      <c r="I889" s="493"/>
      <c r="J889" s="493"/>
      <c r="K889" s="493"/>
      <c r="L889" s="493"/>
      <c r="M889" s="493"/>
      <c r="N889" s="493"/>
      <c r="O889" s="493"/>
      <c r="P889" s="493"/>
      <c r="Q889" s="493"/>
      <c r="R889" s="493"/>
      <c r="S889" s="493"/>
      <c r="T889" s="493"/>
      <c r="U889" s="493"/>
      <c r="V889" s="466"/>
      <c r="W889" s="467"/>
      <c r="X889" s="468"/>
      <c r="Y889" s="466"/>
      <c r="Z889" s="467"/>
      <c r="AA889" s="467"/>
      <c r="AB889" s="468"/>
      <c r="AC889" s="828"/>
      <c r="AD889" s="829"/>
      <c r="AE889" s="829"/>
      <c r="AF889" s="830"/>
      <c r="AG889" s="491"/>
      <c r="AH889" s="491"/>
      <c r="AI889" s="491"/>
      <c r="AJ889" s="491"/>
      <c r="AK889" s="491"/>
      <c r="AL889" s="491"/>
      <c r="AM889" s="491"/>
      <c r="AN889" s="491"/>
      <c r="AO889" s="491"/>
      <c r="AP889" s="491"/>
      <c r="AQ889" s="491"/>
      <c r="AR889" s="492"/>
    </row>
    <row r="890" spans="3:44" ht="18" customHeight="1">
      <c r="C890" s="758"/>
      <c r="D890" s="759"/>
      <c r="E890" s="760"/>
      <c r="F890" s="493"/>
      <c r="G890" s="493"/>
      <c r="H890" s="493"/>
      <c r="I890" s="493"/>
      <c r="J890" s="493"/>
      <c r="K890" s="493"/>
      <c r="L890" s="493"/>
      <c r="M890" s="493"/>
      <c r="N890" s="493"/>
      <c r="O890" s="493"/>
      <c r="P890" s="493"/>
      <c r="Q890" s="493"/>
      <c r="R890" s="493"/>
      <c r="S890" s="493"/>
      <c r="T890" s="493"/>
      <c r="U890" s="493"/>
      <c r="V890" s="466"/>
      <c r="W890" s="467"/>
      <c r="X890" s="468"/>
      <c r="Y890" s="466"/>
      <c r="Z890" s="467"/>
      <c r="AA890" s="467"/>
      <c r="AB890" s="468"/>
      <c r="AC890" s="828"/>
      <c r="AD890" s="829"/>
      <c r="AE890" s="829"/>
      <c r="AF890" s="830"/>
      <c r="AG890" s="491"/>
      <c r="AH890" s="491"/>
      <c r="AI890" s="491"/>
      <c r="AJ890" s="491"/>
      <c r="AK890" s="491"/>
      <c r="AL890" s="491"/>
      <c r="AM890" s="491"/>
      <c r="AN890" s="491"/>
      <c r="AO890" s="491"/>
      <c r="AP890" s="491"/>
      <c r="AQ890" s="491"/>
      <c r="AR890" s="492"/>
    </row>
    <row r="891" spans="3:44" ht="18" customHeight="1">
      <c r="C891" s="758"/>
      <c r="D891" s="759"/>
      <c r="E891" s="760"/>
      <c r="F891" s="796"/>
      <c r="G891" s="797"/>
      <c r="H891" s="797"/>
      <c r="I891" s="797"/>
      <c r="J891" s="797"/>
      <c r="K891" s="797"/>
      <c r="L891" s="797"/>
      <c r="M891" s="797"/>
      <c r="N891" s="797"/>
      <c r="O891" s="797"/>
      <c r="P891" s="797"/>
      <c r="Q891" s="797"/>
      <c r="R891" s="797"/>
      <c r="S891" s="797"/>
      <c r="T891" s="797"/>
      <c r="U891" s="798"/>
      <c r="V891" s="466"/>
      <c r="W891" s="467"/>
      <c r="X891" s="468"/>
      <c r="Y891" s="466"/>
      <c r="Z891" s="467"/>
      <c r="AA891" s="467"/>
      <c r="AB891" s="468"/>
      <c r="AC891" s="828"/>
      <c r="AD891" s="829"/>
      <c r="AE891" s="829"/>
      <c r="AF891" s="830"/>
      <c r="AG891" s="466"/>
      <c r="AH891" s="467"/>
      <c r="AI891" s="467"/>
      <c r="AJ891" s="468"/>
      <c r="AK891" s="466"/>
      <c r="AL891" s="467"/>
      <c r="AM891" s="467"/>
      <c r="AN891" s="468"/>
      <c r="AO891" s="466"/>
      <c r="AP891" s="467"/>
      <c r="AQ891" s="467"/>
      <c r="AR891" s="823"/>
    </row>
    <row r="892" spans="3:44" ht="18" customHeight="1">
      <c r="C892" s="758"/>
      <c r="D892" s="759"/>
      <c r="E892" s="760"/>
      <c r="F892" s="796"/>
      <c r="G892" s="797"/>
      <c r="H892" s="797"/>
      <c r="I892" s="797"/>
      <c r="J892" s="797"/>
      <c r="K892" s="797"/>
      <c r="L892" s="797"/>
      <c r="M892" s="797"/>
      <c r="N892" s="797"/>
      <c r="O892" s="797"/>
      <c r="P892" s="797"/>
      <c r="Q892" s="797"/>
      <c r="R892" s="797"/>
      <c r="S892" s="797"/>
      <c r="T892" s="797"/>
      <c r="U892" s="798"/>
      <c r="V892" s="466"/>
      <c r="W892" s="467"/>
      <c r="X892" s="468"/>
      <c r="Y892" s="466"/>
      <c r="Z892" s="467"/>
      <c r="AA892" s="467"/>
      <c r="AB892" s="468"/>
      <c r="AC892" s="828"/>
      <c r="AD892" s="829"/>
      <c r="AE892" s="829"/>
      <c r="AF892" s="830"/>
      <c r="AG892" s="466"/>
      <c r="AH892" s="467"/>
      <c r="AI892" s="467"/>
      <c r="AJ892" s="468"/>
      <c r="AK892" s="466"/>
      <c r="AL892" s="467"/>
      <c r="AM892" s="467"/>
      <c r="AN892" s="468"/>
      <c r="AO892" s="466"/>
      <c r="AP892" s="467"/>
      <c r="AQ892" s="467"/>
      <c r="AR892" s="823"/>
    </row>
    <row r="893" spans="3:44" ht="18" customHeight="1">
      <c r="C893" s="743"/>
      <c r="D893" s="744"/>
      <c r="E893" s="744"/>
      <c r="F893" s="744"/>
      <c r="G893" s="744"/>
      <c r="H893" s="744"/>
      <c r="I893" s="744"/>
      <c r="J893" s="744"/>
      <c r="K893" s="744"/>
      <c r="L893" s="744"/>
      <c r="M893" s="744"/>
      <c r="N893" s="744"/>
      <c r="O893" s="744"/>
      <c r="P893" s="744"/>
      <c r="Q893" s="744"/>
      <c r="R893" s="744"/>
      <c r="S893" s="744"/>
      <c r="T893" s="744"/>
      <c r="U893" s="744"/>
      <c r="V893" s="744"/>
      <c r="W893" s="744"/>
      <c r="X893" s="824"/>
      <c r="Y893" s="825" t="s">
        <v>74</v>
      </c>
      <c r="Z893" s="826"/>
      <c r="AA893" s="826"/>
      <c r="AB893" s="826"/>
      <c r="AC893" s="826"/>
      <c r="AD893" s="826"/>
      <c r="AE893" s="826"/>
      <c r="AF893" s="826"/>
      <c r="AG893" s="826"/>
      <c r="AH893" s="826"/>
      <c r="AI893" s="826"/>
      <c r="AJ893" s="826"/>
      <c r="AK893" s="826"/>
      <c r="AL893" s="826"/>
      <c r="AM893" s="826"/>
      <c r="AN893" s="827"/>
      <c r="AO893" s="477">
        <f>SUM(AO885:AR892)</f>
        <v>79.759999999999991</v>
      </c>
      <c r="AP893" s="746"/>
      <c r="AQ893" s="746"/>
      <c r="AR893" s="747"/>
    </row>
    <row r="895" spans="3:44" ht="18" customHeight="1">
      <c r="C895" s="794" t="s">
        <v>43</v>
      </c>
      <c r="D895" s="774"/>
      <c r="E895" s="775"/>
      <c r="F895" s="773" t="s">
        <v>75</v>
      </c>
      <c r="G895" s="774"/>
      <c r="H895" s="774"/>
      <c r="I895" s="774"/>
      <c r="J895" s="774"/>
      <c r="K895" s="774"/>
      <c r="L895" s="774"/>
      <c r="M895" s="774"/>
      <c r="N895" s="774"/>
      <c r="O895" s="774"/>
      <c r="P895" s="774"/>
      <c r="Q895" s="774"/>
      <c r="R895" s="774"/>
      <c r="S895" s="774"/>
      <c r="T895" s="774"/>
      <c r="U895" s="774"/>
      <c r="V895" s="774"/>
      <c r="W895" s="774"/>
      <c r="X895" s="774"/>
      <c r="Y895" s="774"/>
      <c r="Z895" s="774"/>
      <c r="AA895" s="774"/>
      <c r="AB895" s="775"/>
      <c r="AC895" s="773" t="s">
        <v>76</v>
      </c>
      <c r="AD895" s="774"/>
      <c r="AE895" s="774"/>
      <c r="AF895" s="775"/>
      <c r="AG895" s="773" t="s">
        <v>249</v>
      </c>
      <c r="AH895" s="774"/>
      <c r="AI895" s="774"/>
      <c r="AJ895" s="775"/>
      <c r="AK895" s="773" t="s">
        <v>77</v>
      </c>
      <c r="AL895" s="774"/>
      <c r="AM895" s="774"/>
      <c r="AN895" s="775"/>
      <c r="AO895" s="773" t="s">
        <v>71</v>
      </c>
      <c r="AP895" s="774"/>
      <c r="AQ895" s="774"/>
      <c r="AR895" s="779"/>
    </row>
    <row r="896" spans="3:44" ht="18" customHeight="1">
      <c r="C896" s="795"/>
      <c r="D896" s="777"/>
      <c r="E896" s="778"/>
      <c r="F896" s="776"/>
      <c r="G896" s="777"/>
      <c r="H896" s="777"/>
      <c r="I896" s="777"/>
      <c r="J896" s="777"/>
      <c r="K896" s="777"/>
      <c r="L896" s="777"/>
      <c r="M896" s="777"/>
      <c r="N896" s="777"/>
      <c r="O896" s="777"/>
      <c r="P896" s="777"/>
      <c r="Q896" s="777"/>
      <c r="R896" s="777"/>
      <c r="S896" s="777"/>
      <c r="T896" s="777"/>
      <c r="U896" s="777"/>
      <c r="V896" s="777"/>
      <c r="W896" s="777"/>
      <c r="X896" s="777"/>
      <c r="Y896" s="777"/>
      <c r="Z896" s="777"/>
      <c r="AA896" s="777"/>
      <c r="AB896" s="778"/>
      <c r="AC896" s="776"/>
      <c r="AD896" s="777"/>
      <c r="AE896" s="777"/>
      <c r="AF896" s="778"/>
      <c r="AG896" s="776"/>
      <c r="AH896" s="777"/>
      <c r="AI896" s="777"/>
      <c r="AJ896" s="778"/>
      <c r="AK896" s="776"/>
      <c r="AL896" s="777"/>
      <c r="AM896" s="777"/>
      <c r="AN896" s="778"/>
      <c r="AO896" s="776"/>
      <c r="AP896" s="777"/>
      <c r="AQ896" s="777"/>
      <c r="AR896" s="780"/>
    </row>
    <row r="897" spans="3:44" ht="18" customHeight="1">
      <c r="C897" s="781" t="s">
        <v>940</v>
      </c>
      <c r="D897" s="782"/>
      <c r="E897" s="783"/>
      <c r="F897" s="493" t="s">
        <v>105</v>
      </c>
      <c r="G897" s="493"/>
      <c r="H897" s="493"/>
      <c r="I897" s="493"/>
      <c r="J897" s="493"/>
      <c r="K897" s="493"/>
      <c r="L897" s="493"/>
      <c r="M897" s="493"/>
      <c r="N897" s="493"/>
      <c r="O897" s="493"/>
      <c r="P897" s="493"/>
      <c r="Q897" s="493"/>
      <c r="R897" s="493"/>
      <c r="S897" s="493"/>
      <c r="T897" s="493"/>
      <c r="U897" s="493"/>
      <c r="V897" s="493"/>
      <c r="W897" s="493"/>
      <c r="X897" s="493"/>
      <c r="Y897" s="493"/>
      <c r="Z897" s="493"/>
      <c r="AA897" s="493"/>
      <c r="AB897" s="493"/>
      <c r="AC897" s="770"/>
      <c r="AD897" s="771"/>
      <c r="AE897" s="771"/>
      <c r="AF897" s="790"/>
      <c r="AG897" s="770">
        <v>109.59</v>
      </c>
      <c r="AH897" s="771"/>
      <c r="AI897" s="771"/>
      <c r="AJ897" s="790"/>
      <c r="AK897" s="449">
        <f>VLOOKUP(C897,[4]MÃODEOBRA!A$1:D$65536,4,FALSE)</f>
        <v>22.98488</v>
      </c>
      <c r="AL897" s="449"/>
      <c r="AM897" s="449"/>
      <c r="AN897" s="449"/>
      <c r="AO897" s="491">
        <f>ROUND(AG897*AK897,2)</f>
        <v>2518.91</v>
      </c>
      <c r="AP897" s="491"/>
      <c r="AQ897" s="491"/>
      <c r="AR897" s="492"/>
    </row>
    <row r="898" spans="3:44" ht="18" customHeight="1">
      <c r="C898" s="758"/>
      <c r="D898" s="759"/>
      <c r="E898" s="760"/>
      <c r="F898" s="493"/>
      <c r="G898" s="493"/>
      <c r="H898" s="493"/>
      <c r="I898" s="493"/>
      <c r="J898" s="493"/>
      <c r="K898" s="493"/>
      <c r="L898" s="493"/>
      <c r="M898" s="493"/>
      <c r="N898" s="493"/>
      <c r="O898" s="493"/>
      <c r="P898" s="493"/>
      <c r="Q898" s="493"/>
      <c r="R898" s="493"/>
      <c r="S898" s="493"/>
      <c r="T898" s="493"/>
      <c r="U898" s="493"/>
      <c r="V898" s="493"/>
      <c r="W898" s="493"/>
      <c r="X898" s="493"/>
      <c r="Y898" s="493"/>
      <c r="Z898" s="493"/>
      <c r="AA898" s="493"/>
      <c r="AB898" s="493"/>
      <c r="AC898" s="740"/>
      <c r="AD898" s="741"/>
      <c r="AE898" s="741"/>
      <c r="AF898" s="757"/>
      <c r="AG898" s="740"/>
      <c r="AH898" s="741"/>
      <c r="AI898" s="741"/>
      <c r="AJ898" s="757"/>
      <c r="AK898" s="449"/>
      <c r="AL898" s="449"/>
      <c r="AM898" s="449"/>
      <c r="AN898" s="449"/>
      <c r="AO898" s="491"/>
      <c r="AP898" s="491"/>
      <c r="AQ898" s="491"/>
      <c r="AR898" s="492"/>
    </row>
    <row r="899" spans="3:44" ht="18" customHeight="1">
      <c r="C899" s="758"/>
      <c r="D899" s="759"/>
      <c r="E899" s="760"/>
      <c r="F899" s="796"/>
      <c r="G899" s="797"/>
      <c r="H899" s="797"/>
      <c r="I899" s="797"/>
      <c r="J899" s="797"/>
      <c r="K899" s="797"/>
      <c r="L899" s="797"/>
      <c r="M899" s="797"/>
      <c r="N899" s="797"/>
      <c r="O899" s="797"/>
      <c r="P899" s="797"/>
      <c r="Q899" s="797"/>
      <c r="R899" s="797"/>
      <c r="S899" s="797"/>
      <c r="T899" s="797"/>
      <c r="U899" s="797"/>
      <c r="V899" s="797"/>
      <c r="W899" s="797"/>
      <c r="X899" s="797"/>
      <c r="Y899" s="797"/>
      <c r="Z899" s="797"/>
      <c r="AA899" s="797"/>
      <c r="AB899" s="798"/>
      <c r="AC899" s="740"/>
      <c r="AD899" s="741"/>
      <c r="AE899" s="741"/>
      <c r="AF899" s="757"/>
      <c r="AG899" s="740"/>
      <c r="AH899" s="741"/>
      <c r="AI899" s="741"/>
      <c r="AJ899" s="757"/>
      <c r="AK899" s="740"/>
      <c r="AL899" s="741"/>
      <c r="AM899" s="741"/>
      <c r="AN899" s="757"/>
      <c r="AO899" s="466"/>
      <c r="AP899" s="467"/>
      <c r="AQ899" s="467"/>
      <c r="AR899" s="823"/>
    </row>
    <row r="900" spans="3:44" ht="18" customHeight="1">
      <c r="C900" s="758"/>
      <c r="D900" s="759"/>
      <c r="E900" s="760"/>
      <c r="F900" s="796"/>
      <c r="G900" s="797"/>
      <c r="H900" s="797"/>
      <c r="I900" s="797"/>
      <c r="J900" s="797"/>
      <c r="K900" s="797"/>
      <c r="L900" s="797"/>
      <c r="M900" s="797"/>
      <c r="N900" s="797"/>
      <c r="O900" s="797"/>
      <c r="P900" s="797"/>
      <c r="Q900" s="797"/>
      <c r="R900" s="797"/>
      <c r="S900" s="797"/>
      <c r="T900" s="797"/>
      <c r="U900" s="797"/>
      <c r="V900" s="797"/>
      <c r="W900" s="797"/>
      <c r="X900" s="797"/>
      <c r="Y900" s="797"/>
      <c r="Z900" s="797"/>
      <c r="AA900" s="797"/>
      <c r="AB900" s="798"/>
      <c r="AC900" s="740"/>
      <c r="AD900" s="741"/>
      <c r="AE900" s="741"/>
      <c r="AF900" s="757"/>
      <c r="AG900" s="740"/>
      <c r="AH900" s="741"/>
      <c r="AI900" s="741"/>
      <c r="AJ900" s="757"/>
      <c r="AK900" s="740"/>
      <c r="AL900" s="741"/>
      <c r="AM900" s="741"/>
      <c r="AN900" s="757"/>
      <c r="AO900" s="466"/>
      <c r="AP900" s="467"/>
      <c r="AQ900" s="467"/>
      <c r="AR900" s="823"/>
    </row>
    <row r="901" spans="3:44" ht="18" customHeight="1">
      <c r="C901" s="758"/>
      <c r="D901" s="759"/>
      <c r="E901" s="760"/>
      <c r="F901" s="796"/>
      <c r="G901" s="797"/>
      <c r="H901" s="797"/>
      <c r="I901" s="797"/>
      <c r="J901" s="797"/>
      <c r="K901" s="797"/>
      <c r="L901" s="797"/>
      <c r="M901" s="797"/>
      <c r="N901" s="797"/>
      <c r="O901" s="797"/>
      <c r="P901" s="797"/>
      <c r="Q901" s="797"/>
      <c r="R901" s="797"/>
      <c r="S901" s="797"/>
      <c r="T901" s="797"/>
      <c r="U901" s="797"/>
      <c r="V901" s="797"/>
      <c r="W901" s="797"/>
      <c r="X901" s="797"/>
      <c r="Y901" s="797"/>
      <c r="Z901" s="797"/>
      <c r="AA901" s="797"/>
      <c r="AB901" s="798"/>
      <c r="AC901" s="740"/>
      <c r="AD901" s="741"/>
      <c r="AE901" s="741"/>
      <c r="AF901" s="757"/>
      <c r="AG901" s="740"/>
      <c r="AH901" s="741"/>
      <c r="AI901" s="741"/>
      <c r="AJ901" s="757"/>
      <c r="AK901" s="740"/>
      <c r="AL901" s="741"/>
      <c r="AM901" s="741"/>
      <c r="AN901" s="757"/>
      <c r="AO901" s="466"/>
      <c r="AP901" s="467"/>
      <c r="AQ901" s="467"/>
      <c r="AR901" s="823"/>
    </row>
    <row r="902" spans="3:44" ht="18" customHeight="1">
      <c r="C902" s="758"/>
      <c r="D902" s="759"/>
      <c r="E902" s="760"/>
      <c r="F902" s="796"/>
      <c r="G902" s="797"/>
      <c r="H902" s="797"/>
      <c r="I902" s="797"/>
      <c r="J902" s="797"/>
      <c r="K902" s="797"/>
      <c r="L902" s="797"/>
      <c r="M902" s="797"/>
      <c r="N902" s="797"/>
      <c r="O902" s="797"/>
      <c r="P902" s="797"/>
      <c r="Q902" s="797"/>
      <c r="R902" s="797"/>
      <c r="S902" s="797"/>
      <c r="T902" s="797"/>
      <c r="U902" s="797"/>
      <c r="V902" s="797"/>
      <c r="W902" s="797"/>
      <c r="X902" s="797"/>
      <c r="Y902" s="797"/>
      <c r="Z902" s="797"/>
      <c r="AA902" s="797"/>
      <c r="AB902" s="798"/>
      <c r="AC902" s="740"/>
      <c r="AD902" s="741"/>
      <c r="AE902" s="741"/>
      <c r="AF902" s="757"/>
      <c r="AG902" s="740"/>
      <c r="AH902" s="741"/>
      <c r="AI902" s="741"/>
      <c r="AJ902" s="757"/>
      <c r="AK902" s="740"/>
      <c r="AL902" s="741"/>
      <c r="AM902" s="741"/>
      <c r="AN902" s="757"/>
      <c r="AO902" s="466"/>
      <c r="AP902" s="467"/>
      <c r="AQ902" s="467"/>
      <c r="AR902" s="823"/>
    </row>
    <row r="903" spans="3:44" ht="18" customHeight="1">
      <c r="C903" s="758"/>
      <c r="D903" s="759"/>
      <c r="E903" s="760"/>
      <c r="F903" s="796"/>
      <c r="G903" s="797"/>
      <c r="H903" s="797"/>
      <c r="I903" s="797"/>
      <c r="J903" s="797"/>
      <c r="K903" s="797"/>
      <c r="L903" s="797"/>
      <c r="M903" s="797"/>
      <c r="N903" s="797"/>
      <c r="O903" s="797"/>
      <c r="P903" s="797"/>
      <c r="Q903" s="797"/>
      <c r="R903" s="797"/>
      <c r="S903" s="797"/>
      <c r="T903" s="797"/>
      <c r="U903" s="797"/>
      <c r="V903" s="797"/>
      <c r="W903" s="797"/>
      <c r="X903" s="797"/>
      <c r="Y903" s="797"/>
      <c r="Z903" s="797"/>
      <c r="AA903" s="797"/>
      <c r="AB903" s="798"/>
      <c r="AC903" s="740"/>
      <c r="AD903" s="741"/>
      <c r="AE903" s="741"/>
      <c r="AF903" s="757"/>
      <c r="AG903" s="740"/>
      <c r="AH903" s="741"/>
      <c r="AI903" s="741"/>
      <c r="AJ903" s="757"/>
      <c r="AK903" s="740"/>
      <c r="AL903" s="741"/>
      <c r="AM903" s="741"/>
      <c r="AN903" s="757"/>
      <c r="AO903" s="466"/>
      <c r="AP903" s="467"/>
      <c r="AQ903" s="467"/>
      <c r="AR903" s="823"/>
    </row>
    <row r="904" spans="3:44" ht="18" customHeight="1">
      <c r="C904" s="758"/>
      <c r="D904" s="759"/>
      <c r="E904" s="760"/>
      <c r="F904" s="796"/>
      <c r="G904" s="797"/>
      <c r="H904" s="797"/>
      <c r="I904" s="797"/>
      <c r="J904" s="797"/>
      <c r="K904" s="797"/>
      <c r="L904" s="797"/>
      <c r="M904" s="797"/>
      <c r="N904" s="797"/>
      <c r="O904" s="797"/>
      <c r="P904" s="797"/>
      <c r="Q904" s="797"/>
      <c r="R904" s="797"/>
      <c r="S904" s="797"/>
      <c r="T904" s="797"/>
      <c r="U904" s="797"/>
      <c r="V904" s="797"/>
      <c r="W904" s="797"/>
      <c r="X904" s="797"/>
      <c r="Y904" s="797"/>
      <c r="Z904" s="797"/>
      <c r="AA904" s="797"/>
      <c r="AB904" s="798"/>
      <c r="AC904" s="740"/>
      <c r="AD904" s="741"/>
      <c r="AE904" s="741"/>
      <c r="AF904" s="757"/>
      <c r="AG904" s="740"/>
      <c r="AH904" s="741"/>
      <c r="AI904" s="741"/>
      <c r="AJ904" s="757"/>
      <c r="AK904" s="740"/>
      <c r="AL904" s="741"/>
      <c r="AM904" s="741"/>
      <c r="AN904" s="757"/>
      <c r="AO904" s="466"/>
      <c r="AP904" s="467"/>
      <c r="AQ904" s="467"/>
      <c r="AR904" s="823"/>
    </row>
    <row r="905" spans="3:44" ht="18" customHeight="1">
      <c r="C905" s="814"/>
      <c r="D905" s="815"/>
      <c r="E905" s="815"/>
      <c r="F905" s="815"/>
      <c r="G905" s="815"/>
      <c r="H905" s="815"/>
      <c r="I905" s="815"/>
      <c r="J905" s="815"/>
      <c r="K905" s="815"/>
      <c r="L905" s="815"/>
      <c r="M905" s="815"/>
      <c r="N905" s="815"/>
      <c r="O905" s="815"/>
      <c r="P905" s="815"/>
      <c r="Q905" s="815"/>
      <c r="R905" s="815"/>
      <c r="S905" s="815"/>
      <c r="T905" s="815"/>
      <c r="U905" s="815"/>
      <c r="V905" s="815"/>
      <c r="W905" s="815"/>
      <c r="X905" s="815"/>
      <c r="Y905" s="816" t="s">
        <v>78</v>
      </c>
      <c r="Z905" s="816"/>
      <c r="AA905" s="816"/>
      <c r="AB905" s="816"/>
      <c r="AC905" s="816"/>
      <c r="AD905" s="816"/>
      <c r="AE905" s="816"/>
      <c r="AF905" s="483"/>
      <c r="AG905" s="817" t="s">
        <v>413</v>
      </c>
      <c r="AH905" s="818"/>
      <c r="AI905" s="818"/>
      <c r="AJ905" s="819"/>
      <c r="AK905" s="466">
        <f>SUM(AO897:AR904)</f>
        <v>2518.91</v>
      </c>
      <c r="AL905" s="467"/>
      <c r="AM905" s="467"/>
      <c r="AN905" s="468"/>
      <c r="AO905" s="820">
        <f>ROUND(AG905*AK905,2)</f>
        <v>390.68</v>
      </c>
      <c r="AP905" s="821"/>
      <c r="AQ905" s="821"/>
      <c r="AR905" s="822"/>
    </row>
    <row r="906" spans="3:44" ht="18" customHeight="1">
      <c r="C906" s="743"/>
      <c r="D906" s="744"/>
      <c r="E906" s="744"/>
      <c r="F906" s="744"/>
      <c r="G906" s="744"/>
      <c r="H906" s="744"/>
      <c r="I906" s="744"/>
      <c r="J906" s="744"/>
      <c r="K906" s="744"/>
      <c r="L906" s="744"/>
      <c r="M906" s="744"/>
      <c r="N906" s="744"/>
      <c r="O906" s="744"/>
      <c r="P906" s="744"/>
      <c r="Q906" s="744"/>
      <c r="R906" s="744"/>
      <c r="S906" s="744"/>
      <c r="T906" s="744"/>
      <c r="U906" s="744"/>
      <c r="V906" s="744"/>
      <c r="W906" s="744"/>
      <c r="X906" s="744"/>
      <c r="Y906" s="745" t="s">
        <v>79</v>
      </c>
      <c r="Z906" s="745"/>
      <c r="AA906" s="745"/>
      <c r="AB906" s="745"/>
      <c r="AC906" s="745"/>
      <c r="AD906" s="745"/>
      <c r="AE906" s="745"/>
      <c r="AF906" s="745"/>
      <c r="AG906" s="745"/>
      <c r="AH906" s="745"/>
      <c r="AI906" s="745"/>
      <c r="AJ906" s="745"/>
      <c r="AK906" s="745"/>
      <c r="AL906" s="745"/>
      <c r="AM906" s="745"/>
      <c r="AN906" s="430"/>
      <c r="AO906" s="477">
        <f>SUM(AO897:AR905)</f>
        <v>2909.5899999999997</v>
      </c>
      <c r="AP906" s="746"/>
      <c r="AQ906" s="746"/>
      <c r="AR906" s="747"/>
    </row>
    <row r="908" spans="3:44" ht="18" customHeight="1">
      <c r="C908" s="802"/>
      <c r="D908" s="803"/>
      <c r="E908" s="803"/>
      <c r="F908" s="803"/>
      <c r="G908" s="803"/>
      <c r="H908" s="803"/>
      <c r="I908" s="803"/>
      <c r="J908" s="803"/>
      <c r="K908" s="803"/>
      <c r="L908" s="803"/>
      <c r="M908" s="803"/>
      <c r="N908" s="803"/>
      <c r="O908" s="803"/>
      <c r="P908" s="803"/>
      <c r="Q908" s="803"/>
      <c r="R908" s="803"/>
      <c r="S908" s="803"/>
      <c r="T908" s="803"/>
      <c r="U908" s="803"/>
      <c r="V908" s="803"/>
      <c r="W908" s="803"/>
      <c r="X908" s="803"/>
      <c r="Y908" s="804" t="s">
        <v>80</v>
      </c>
      <c r="Z908" s="805"/>
      <c r="AA908" s="805"/>
      <c r="AB908" s="805"/>
      <c r="AC908" s="805"/>
      <c r="AD908" s="805"/>
      <c r="AE908" s="805"/>
      <c r="AF908" s="805"/>
      <c r="AG908" s="805"/>
      <c r="AH908" s="805"/>
      <c r="AI908" s="805"/>
      <c r="AJ908" s="805"/>
      <c r="AK908" s="805"/>
      <c r="AL908" s="805"/>
      <c r="AM908" s="805"/>
      <c r="AN908" s="806"/>
      <c r="AO908" s="807">
        <f>AO893+AO906</f>
        <v>2989.3499999999995</v>
      </c>
      <c r="AP908" s="808"/>
      <c r="AQ908" s="808"/>
      <c r="AR908" s="809"/>
    </row>
    <row r="909" spans="3:44" ht="18" customHeight="1">
      <c r="C909" s="810" t="s">
        <v>81</v>
      </c>
      <c r="D909" s="745"/>
      <c r="E909" s="745"/>
      <c r="F909" s="745"/>
      <c r="G909" s="745"/>
      <c r="H909" s="745"/>
      <c r="I909" s="745"/>
      <c r="J909" s="745"/>
      <c r="K909" s="745"/>
      <c r="L909" s="745"/>
      <c r="M909" s="745"/>
      <c r="N909" s="745"/>
      <c r="O909" s="745"/>
      <c r="P909" s="430"/>
      <c r="Q909" s="477">
        <v>1</v>
      </c>
      <c r="R909" s="746"/>
      <c r="S909" s="746"/>
      <c r="T909" s="746"/>
      <c r="U909" s="746"/>
      <c r="V909" s="745" t="s">
        <v>194</v>
      </c>
      <c r="W909" s="745"/>
      <c r="X909" s="430"/>
      <c r="Y909" s="804" t="s">
        <v>82</v>
      </c>
      <c r="Z909" s="805"/>
      <c r="AA909" s="805"/>
      <c r="AB909" s="805"/>
      <c r="AC909" s="805"/>
      <c r="AD909" s="805"/>
      <c r="AE909" s="805"/>
      <c r="AF909" s="805"/>
      <c r="AG909" s="805"/>
      <c r="AH909" s="805"/>
      <c r="AI909" s="805"/>
      <c r="AJ909" s="805"/>
      <c r="AK909" s="805"/>
      <c r="AL909" s="805"/>
      <c r="AM909" s="805"/>
      <c r="AN909" s="806"/>
      <c r="AO909" s="811">
        <f>ROUND(AO908/Q909,2)</f>
        <v>2989.35</v>
      </c>
      <c r="AP909" s="812"/>
      <c r="AQ909" s="812"/>
      <c r="AR909" s="813"/>
    </row>
    <row r="911" spans="3:44" ht="18" customHeight="1">
      <c r="C911" s="794" t="s">
        <v>43</v>
      </c>
      <c r="D911" s="774"/>
      <c r="E911" s="775"/>
      <c r="F911" s="773" t="s">
        <v>83</v>
      </c>
      <c r="G911" s="774"/>
      <c r="H911" s="774"/>
      <c r="I911" s="774"/>
      <c r="J911" s="774"/>
      <c r="K911" s="774"/>
      <c r="L911" s="774"/>
      <c r="M911" s="774"/>
      <c r="N911" s="774"/>
      <c r="O911" s="774"/>
      <c r="P911" s="774"/>
      <c r="Q911" s="774"/>
      <c r="R911" s="774"/>
      <c r="S911" s="774"/>
      <c r="T911" s="774"/>
      <c r="U911" s="774"/>
      <c r="V911" s="774"/>
      <c r="W911" s="774"/>
      <c r="X911" s="774"/>
      <c r="Y911" s="774"/>
      <c r="Z911" s="774"/>
      <c r="AA911" s="774"/>
      <c r="AB911" s="775"/>
      <c r="AC911" s="773" t="s">
        <v>84</v>
      </c>
      <c r="AD911" s="774"/>
      <c r="AE911" s="774"/>
      <c r="AF911" s="775"/>
      <c r="AG911" s="773" t="s">
        <v>85</v>
      </c>
      <c r="AH911" s="774"/>
      <c r="AI911" s="774"/>
      <c r="AJ911" s="775"/>
      <c r="AK911" s="773" t="s">
        <v>86</v>
      </c>
      <c r="AL911" s="774"/>
      <c r="AM911" s="774"/>
      <c r="AN911" s="775"/>
      <c r="AO911" s="773" t="s">
        <v>87</v>
      </c>
      <c r="AP911" s="774"/>
      <c r="AQ911" s="774"/>
      <c r="AR911" s="779"/>
    </row>
    <row r="912" spans="3:44" ht="18" customHeight="1">
      <c r="C912" s="795"/>
      <c r="D912" s="777"/>
      <c r="E912" s="778"/>
      <c r="F912" s="776"/>
      <c r="G912" s="777"/>
      <c r="H912" s="777"/>
      <c r="I912" s="777"/>
      <c r="J912" s="777"/>
      <c r="K912" s="777"/>
      <c r="L912" s="777"/>
      <c r="M912" s="777"/>
      <c r="N912" s="777"/>
      <c r="O912" s="777"/>
      <c r="P912" s="777"/>
      <c r="Q912" s="777"/>
      <c r="R912" s="777"/>
      <c r="S912" s="777"/>
      <c r="T912" s="777"/>
      <c r="U912" s="777"/>
      <c r="V912" s="777"/>
      <c r="W912" s="777"/>
      <c r="X912" s="777"/>
      <c r="Y912" s="777"/>
      <c r="Z912" s="777"/>
      <c r="AA912" s="777"/>
      <c r="AB912" s="778"/>
      <c r="AC912" s="776"/>
      <c r="AD912" s="777"/>
      <c r="AE912" s="777"/>
      <c r="AF912" s="778"/>
      <c r="AG912" s="776"/>
      <c r="AH912" s="777"/>
      <c r="AI912" s="777"/>
      <c r="AJ912" s="778"/>
      <c r="AK912" s="776"/>
      <c r="AL912" s="777"/>
      <c r="AM912" s="777"/>
      <c r="AN912" s="778"/>
      <c r="AO912" s="776"/>
      <c r="AP912" s="777"/>
      <c r="AQ912" s="777"/>
      <c r="AR912" s="780"/>
    </row>
    <row r="913" spans="3:44" ht="18" customHeight="1">
      <c r="C913" s="758" t="s">
        <v>1388</v>
      </c>
      <c r="D913" s="759"/>
      <c r="E913" s="760"/>
      <c r="F913" s="796" t="s">
        <v>415</v>
      </c>
      <c r="G913" s="797"/>
      <c r="H913" s="797"/>
      <c r="I913" s="797"/>
      <c r="J913" s="797"/>
      <c r="K913" s="797"/>
      <c r="L913" s="797"/>
      <c r="M913" s="797"/>
      <c r="N913" s="797"/>
      <c r="O913" s="797"/>
      <c r="P913" s="797"/>
      <c r="Q913" s="797"/>
      <c r="R913" s="797"/>
      <c r="S913" s="797"/>
      <c r="T913" s="797"/>
      <c r="U913" s="797"/>
      <c r="V913" s="797"/>
      <c r="W913" s="797"/>
      <c r="X913" s="797"/>
      <c r="Y913" s="797"/>
      <c r="Z913" s="797"/>
      <c r="AA913" s="797"/>
      <c r="AB913" s="798"/>
      <c r="AC913" s="799" t="s">
        <v>245</v>
      </c>
      <c r="AD913" s="800"/>
      <c r="AE913" s="800"/>
      <c r="AF913" s="801"/>
      <c r="AG913" s="466">
        <f>TRUNC(363.71/1.2031,2)</f>
        <v>302.31</v>
      </c>
      <c r="AH913" s="467"/>
      <c r="AI913" s="467"/>
      <c r="AJ913" s="468"/>
      <c r="AK913" s="737">
        <v>6.7850000000000001</v>
      </c>
      <c r="AL913" s="738"/>
      <c r="AM913" s="738"/>
      <c r="AN913" s="739"/>
      <c r="AO913" s="740">
        <f>ROUND(AG913*AK913,2)</f>
        <v>2051.17</v>
      </c>
      <c r="AP913" s="741"/>
      <c r="AQ913" s="741"/>
      <c r="AR913" s="742"/>
    </row>
    <row r="914" spans="3:44" ht="18" customHeight="1">
      <c r="C914" s="758" t="s">
        <v>1377</v>
      </c>
      <c r="D914" s="759"/>
      <c r="E914" s="760"/>
      <c r="F914" s="796" t="s">
        <v>417</v>
      </c>
      <c r="G914" s="797"/>
      <c r="H914" s="797"/>
      <c r="I914" s="797"/>
      <c r="J914" s="797"/>
      <c r="K914" s="797"/>
      <c r="L914" s="797"/>
      <c r="M914" s="797"/>
      <c r="N914" s="797"/>
      <c r="O914" s="797"/>
      <c r="P914" s="797"/>
      <c r="Q914" s="797"/>
      <c r="R914" s="797"/>
      <c r="S914" s="797"/>
      <c r="T914" s="797"/>
      <c r="U914" s="797"/>
      <c r="V914" s="797"/>
      <c r="W914" s="797"/>
      <c r="X914" s="797"/>
      <c r="Y914" s="797"/>
      <c r="Z914" s="797"/>
      <c r="AA914" s="797"/>
      <c r="AB914" s="798"/>
      <c r="AC914" s="799" t="s">
        <v>245</v>
      </c>
      <c r="AD914" s="800"/>
      <c r="AE914" s="800"/>
      <c r="AF914" s="801"/>
      <c r="AG914" s="466">
        <f>TRUNC(373.21/1.2031,2)</f>
        <v>310.2</v>
      </c>
      <c r="AH914" s="467"/>
      <c r="AI914" s="467"/>
      <c r="AJ914" s="468"/>
      <c r="AK914" s="737">
        <v>20.605</v>
      </c>
      <c r="AL914" s="738"/>
      <c r="AM914" s="738"/>
      <c r="AN914" s="739"/>
      <c r="AO914" s="740">
        <f>ROUND(AG914*AK914,2)</f>
        <v>6391.67</v>
      </c>
      <c r="AP914" s="741"/>
      <c r="AQ914" s="741"/>
      <c r="AR914" s="742"/>
    </row>
    <row r="915" spans="3:44" ht="18" customHeight="1">
      <c r="C915" s="758" t="s">
        <v>1376</v>
      </c>
      <c r="D915" s="759"/>
      <c r="E915" s="760"/>
      <c r="F915" s="796" t="s">
        <v>370</v>
      </c>
      <c r="G915" s="797"/>
      <c r="H915" s="797"/>
      <c r="I915" s="797"/>
      <c r="J915" s="797"/>
      <c r="K915" s="797"/>
      <c r="L915" s="797"/>
      <c r="M915" s="797"/>
      <c r="N915" s="797"/>
      <c r="O915" s="797"/>
      <c r="P915" s="797"/>
      <c r="Q915" s="797"/>
      <c r="R915" s="797"/>
      <c r="S915" s="797"/>
      <c r="T915" s="797"/>
      <c r="U915" s="797"/>
      <c r="V915" s="797"/>
      <c r="W915" s="797"/>
      <c r="X915" s="797"/>
      <c r="Y915" s="797"/>
      <c r="Z915" s="797"/>
      <c r="AA915" s="797"/>
      <c r="AB915" s="798"/>
      <c r="AC915" s="799" t="s">
        <v>309</v>
      </c>
      <c r="AD915" s="800"/>
      <c r="AE915" s="800"/>
      <c r="AF915" s="801"/>
      <c r="AG915" s="466">
        <f>TRUNC(43.8/1.2031,2)</f>
        <v>36.4</v>
      </c>
      <c r="AH915" s="467"/>
      <c r="AI915" s="467"/>
      <c r="AJ915" s="468"/>
      <c r="AK915" s="737">
        <v>93.3</v>
      </c>
      <c r="AL915" s="738"/>
      <c r="AM915" s="738"/>
      <c r="AN915" s="739"/>
      <c r="AO915" s="740">
        <f>ROUND(AG915*AK915,2)</f>
        <v>3396.12</v>
      </c>
      <c r="AP915" s="741"/>
      <c r="AQ915" s="741"/>
      <c r="AR915" s="742"/>
    </row>
    <row r="916" spans="3:44" ht="18" customHeight="1">
      <c r="C916" s="758" t="s">
        <v>1384</v>
      </c>
      <c r="D916" s="759"/>
      <c r="E916" s="760"/>
      <c r="F916" s="796" t="s">
        <v>465</v>
      </c>
      <c r="G916" s="797"/>
      <c r="H916" s="797"/>
      <c r="I916" s="797"/>
      <c r="J916" s="797"/>
      <c r="K916" s="797"/>
      <c r="L916" s="797"/>
      <c r="M916" s="797"/>
      <c r="N916" s="797"/>
      <c r="O916" s="797"/>
      <c r="P916" s="797"/>
      <c r="Q916" s="797"/>
      <c r="R916" s="797"/>
      <c r="S916" s="797"/>
      <c r="T916" s="797"/>
      <c r="U916" s="797"/>
      <c r="V916" s="797"/>
      <c r="W916" s="797"/>
      <c r="X916" s="797"/>
      <c r="Y916" s="797"/>
      <c r="Z916" s="797"/>
      <c r="AA916" s="797"/>
      <c r="AB916" s="798"/>
      <c r="AC916" s="799" t="s">
        <v>246</v>
      </c>
      <c r="AD916" s="800"/>
      <c r="AE916" s="800"/>
      <c r="AF916" s="801"/>
      <c r="AG916" s="466">
        <f>TRUNC(5.97/1.2031,2)</f>
        <v>4.96</v>
      </c>
      <c r="AH916" s="467"/>
      <c r="AI916" s="467"/>
      <c r="AJ916" s="468"/>
      <c r="AK916" s="737">
        <v>1353</v>
      </c>
      <c r="AL916" s="738"/>
      <c r="AM916" s="738"/>
      <c r="AN916" s="739"/>
      <c r="AO916" s="740">
        <f>ROUND(AG916*AK916,2)</f>
        <v>6710.88</v>
      </c>
      <c r="AP916" s="741"/>
      <c r="AQ916" s="741"/>
      <c r="AR916" s="742"/>
    </row>
    <row r="917" spans="3:44" ht="18" customHeight="1">
      <c r="C917" s="758" t="s">
        <v>1378</v>
      </c>
      <c r="D917" s="759"/>
      <c r="E917" s="760"/>
      <c r="F917" s="796" t="s">
        <v>630</v>
      </c>
      <c r="G917" s="797"/>
      <c r="H917" s="797"/>
      <c r="I917" s="797"/>
      <c r="J917" s="797"/>
      <c r="K917" s="797"/>
      <c r="L917" s="797"/>
      <c r="M917" s="797"/>
      <c r="N917" s="797"/>
      <c r="O917" s="797"/>
      <c r="P917" s="797"/>
      <c r="Q917" s="797"/>
      <c r="R917" s="797"/>
      <c r="S917" s="797"/>
      <c r="T917" s="797"/>
      <c r="U917" s="797"/>
      <c r="V917" s="797"/>
      <c r="W917" s="797"/>
      <c r="X917" s="797"/>
      <c r="Y917" s="797"/>
      <c r="Z917" s="797"/>
      <c r="AA917" s="797"/>
      <c r="AB917" s="798"/>
      <c r="AC917" s="799" t="s">
        <v>245</v>
      </c>
      <c r="AD917" s="800"/>
      <c r="AE917" s="800"/>
      <c r="AF917" s="801"/>
      <c r="AG917" s="466">
        <f>TRUNC(407.48/1.2031,2)</f>
        <v>338.69</v>
      </c>
      <c r="AH917" s="467"/>
      <c r="AI917" s="467"/>
      <c r="AJ917" s="468"/>
      <c r="AK917" s="737">
        <v>1.1779999999999999</v>
      </c>
      <c r="AL917" s="738"/>
      <c r="AM917" s="738"/>
      <c r="AN917" s="739"/>
      <c r="AO917" s="740">
        <f>ROUND(AG917*AK917,2)</f>
        <v>398.98</v>
      </c>
      <c r="AP917" s="741"/>
      <c r="AQ917" s="741"/>
      <c r="AR917" s="742"/>
    </row>
    <row r="918" spans="3:44" ht="18" customHeight="1">
      <c r="C918" s="758"/>
      <c r="D918" s="759"/>
      <c r="E918" s="760"/>
      <c r="F918" s="796"/>
      <c r="G918" s="797"/>
      <c r="H918" s="797"/>
      <c r="I918" s="797"/>
      <c r="J918" s="797"/>
      <c r="K918" s="797"/>
      <c r="L918" s="797"/>
      <c r="M918" s="797"/>
      <c r="N918" s="797"/>
      <c r="O918" s="797"/>
      <c r="P918" s="797"/>
      <c r="Q918" s="797"/>
      <c r="R918" s="797"/>
      <c r="S918" s="797"/>
      <c r="T918" s="797"/>
      <c r="U918" s="797"/>
      <c r="V918" s="797"/>
      <c r="W918" s="797"/>
      <c r="X918" s="797"/>
      <c r="Y918" s="797"/>
      <c r="Z918" s="797"/>
      <c r="AA918" s="797"/>
      <c r="AB918" s="798"/>
      <c r="AC918" s="799"/>
      <c r="AD918" s="800"/>
      <c r="AE918" s="800"/>
      <c r="AF918" s="801"/>
      <c r="AG918" s="466"/>
      <c r="AH918" s="467"/>
      <c r="AI918" s="467"/>
      <c r="AJ918" s="468"/>
      <c r="AK918" s="737" t="s">
        <v>631</v>
      </c>
      <c r="AL918" s="738"/>
      <c r="AM918" s="738"/>
      <c r="AN918" s="739"/>
      <c r="AO918" s="740"/>
      <c r="AP918" s="741"/>
      <c r="AQ918" s="741"/>
      <c r="AR918" s="742"/>
    </row>
    <row r="919" spans="3:44" ht="18" customHeight="1">
      <c r="C919" s="758"/>
      <c r="D919" s="759"/>
      <c r="E919" s="760"/>
      <c r="F919" s="796"/>
      <c r="G919" s="797"/>
      <c r="H919" s="797"/>
      <c r="I919" s="797"/>
      <c r="J919" s="797"/>
      <c r="K919" s="797"/>
      <c r="L919" s="797"/>
      <c r="M919" s="797"/>
      <c r="N919" s="797"/>
      <c r="O919" s="797"/>
      <c r="P919" s="797"/>
      <c r="Q919" s="797"/>
      <c r="R919" s="797"/>
      <c r="S919" s="797"/>
      <c r="T919" s="797"/>
      <c r="U919" s="797"/>
      <c r="V919" s="797"/>
      <c r="W919" s="797"/>
      <c r="X919" s="797"/>
      <c r="Y919" s="797"/>
      <c r="Z919" s="797"/>
      <c r="AA919" s="797"/>
      <c r="AB919" s="798"/>
      <c r="AC919" s="799"/>
      <c r="AD919" s="800"/>
      <c r="AE919" s="800"/>
      <c r="AF919" s="801"/>
      <c r="AG919" s="466"/>
      <c r="AH919" s="467"/>
      <c r="AI919" s="467"/>
      <c r="AJ919" s="468"/>
      <c r="AK919" s="737"/>
      <c r="AL919" s="738"/>
      <c r="AM919" s="738"/>
      <c r="AN919" s="739"/>
      <c r="AO919" s="740"/>
      <c r="AP919" s="741"/>
      <c r="AQ919" s="741"/>
      <c r="AR919" s="742"/>
    </row>
    <row r="920" spans="3:44" ht="18" customHeight="1">
      <c r="C920" s="758"/>
      <c r="D920" s="759"/>
      <c r="E920" s="760"/>
      <c r="F920" s="796"/>
      <c r="G920" s="797"/>
      <c r="H920" s="797"/>
      <c r="I920" s="797"/>
      <c r="J920" s="797"/>
      <c r="K920" s="797"/>
      <c r="L920" s="797"/>
      <c r="M920" s="797"/>
      <c r="N920" s="797"/>
      <c r="O920" s="797"/>
      <c r="P920" s="797"/>
      <c r="Q920" s="797"/>
      <c r="R920" s="797"/>
      <c r="S920" s="797"/>
      <c r="T920" s="797"/>
      <c r="U920" s="797"/>
      <c r="V920" s="797"/>
      <c r="W920" s="797"/>
      <c r="X920" s="797"/>
      <c r="Y920" s="797"/>
      <c r="Z920" s="797"/>
      <c r="AA920" s="797"/>
      <c r="AB920" s="798"/>
      <c r="AC920" s="799"/>
      <c r="AD920" s="800"/>
      <c r="AE920" s="800"/>
      <c r="AF920" s="801"/>
      <c r="AG920" s="466"/>
      <c r="AH920" s="467"/>
      <c r="AI920" s="467"/>
      <c r="AJ920" s="468"/>
      <c r="AK920" s="737"/>
      <c r="AL920" s="738"/>
      <c r="AM920" s="738"/>
      <c r="AN920" s="739"/>
      <c r="AO920" s="740"/>
      <c r="AP920" s="741"/>
      <c r="AQ920" s="741"/>
      <c r="AR920" s="742"/>
    </row>
    <row r="921" spans="3:44" ht="18" customHeight="1">
      <c r="C921" s="743"/>
      <c r="D921" s="744"/>
      <c r="E921" s="744"/>
      <c r="F921" s="744"/>
      <c r="G921" s="744"/>
      <c r="H921" s="744"/>
      <c r="I921" s="744"/>
      <c r="J921" s="744"/>
      <c r="K921" s="744"/>
      <c r="L921" s="744"/>
      <c r="M921" s="744"/>
      <c r="N921" s="744"/>
      <c r="O921" s="744"/>
      <c r="P921" s="744"/>
      <c r="Q921" s="744"/>
      <c r="R921" s="744"/>
      <c r="S921" s="744"/>
      <c r="T921" s="744"/>
      <c r="U921" s="744"/>
      <c r="V921" s="744"/>
      <c r="W921" s="744"/>
      <c r="X921" s="744"/>
      <c r="Y921" s="745" t="s">
        <v>88</v>
      </c>
      <c r="Z921" s="745"/>
      <c r="AA921" s="745"/>
      <c r="AB921" s="745"/>
      <c r="AC921" s="745"/>
      <c r="AD921" s="745"/>
      <c r="AE921" s="745"/>
      <c r="AF921" s="745"/>
      <c r="AG921" s="745"/>
      <c r="AH921" s="745"/>
      <c r="AI921" s="745"/>
      <c r="AJ921" s="745"/>
      <c r="AK921" s="745"/>
      <c r="AL921" s="745"/>
      <c r="AM921" s="745"/>
      <c r="AN921" s="430"/>
      <c r="AO921" s="477">
        <f>SUM(AO913:AR920)</f>
        <v>18948.82</v>
      </c>
      <c r="AP921" s="746"/>
      <c r="AQ921" s="746"/>
      <c r="AR921" s="747"/>
    </row>
    <row r="923" spans="3:44" ht="18" customHeight="1">
      <c r="C923" s="794" t="s">
        <v>43</v>
      </c>
      <c r="D923" s="774"/>
      <c r="E923" s="775"/>
      <c r="F923" s="773" t="s">
        <v>89</v>
      </c>
      <c r="G923" s="774"/>
      <c r="H923" s="774"/>
      <c r="I923" s="774"/>
      <c r="J923" s="774"/>
      <c r="K923" s="774"/>
      <c r="L923" s="774"/>
      <c r="M923" s="774"/>
      <c r="N923" s="774"/>
      <c r="O923" s="774"/>
      <c r="P923" s="774"/>
      <c r="Q923" s="774"/>
      <c r="R923" s="775"/>
      <c r="S923" s="773" t="s">
        <v>90</v>
      </c>
      <c r="T923" s="774"/>
      <c r="U923" s="775"/>
      <c r="V923" s="773" t="s">
        <v>91</v>
      </c>
      <c r="W923" s="774"/>
      <c r="X923" s="775"/>
      <c r="Y923" s="773" t="s">
        <v>92</v>
      </c>
      <c r="Z923" s="774"/>
      <c r="AA923" s="774"/>
      <c r="AB923" s="774"/>
      <c r="AC923" s="774"/>
      <c r="AD923" s="775"/>
      <c r="AE923" s="773" t="s">
        <v>93</v>
      </c>
      <c r="AF923" s="774"/>
      <c r="AG923" s="775"/>
      <c r="AH923" s="773" t="s">
        <v>94</v>
      </c>
      <c r="AI923" s="774"/>
      <c r="AJ923" s="775"/>
      <c r="AK923" s="773" t="s">
        <v>86</v>
      </c>
      <c r="AL923" s="774"/>
      <c r="AM923" s="774"/>
      <c r="AN923" s="775"/>
      <c r="AO923" s="773" t="s">
        <v>87</v>
      </c>
      <c r="AP923" s="774"/>
      <c r="AQ923" s="774"/>
      <c r="AR923" s="779"/>
    </row>
    <row r="924" spans="3:44" ht="18" customHeight="1">
      <c r="C924" s="795"/>
      <c r="D924" s="777"/>
      <c r="E924" s="778"/>
      <c r="F924" s="776"/>
      <c r="G924" s="777"/>
      <c r="H924" s="777"/>
      <c r="I924" s="777"/>
      <c r="J924" s="777"/>
      <c r="K924" s="777"/>
      <c r="L924" s="777"/>
      <c r="M924" s="777"/>
      <c r="N924" s="777"/>
      <c r="O924" s="777"/>
      <c r="P924" s="777"/>
      <c r="Q924" s="777"/>
      <c r="R924" s="778"/>
      <c r="S924" s="776"/>
      <c r="T924" s="777"/>
      <c r="U924" s="778"/>
      <c r="V924" s="776"/>
      <c r="W924" s="777"/>
      <c r="X924" s="778"/>
      <c r="Y924" s="776"/>
      <c r="Z924" s="777"/>
      <c r="AA924" s="777"/>
      <c r="AB924" s="777"/>
      <c r="AC924" s="777"/>
      <c r="AD924" s="778"/>
      <c r="AE924" s="776"/>
      <c r="AF924" s="777"/>
      <c r="AG924" s="778"/>
      <c r="AH924" s="776"/>
      <c r="AI924" s="777"/>
      <c r="AJ924" s="778"/>
      <c r="AK924" s="776"/>
      <c r="AL924" s="777"/>
      <c r="AM924" s="777"/>
      <c r="AN924" s="778"/>
      <c r="AO924" s="776"/>
      <c r="AP924" s="777"/>
      <c r="AQ924" s="777"/>
      <c r="AR924" s="780"/>
    </row>
    <row r="925" spans="3:44" ht="18" customHeight="1">
      <c r="C925" s="781"/>
      <c r="D925" s="782"/>
      <c r="E925" s="783"/>
      <c r="F925" s="457"/>
      <c r="G925" s="457"/>
      <c r="H925" s="457"/>
      <c r="I925" s="457"/>
      <c r="J925" s="457"/>
      <c r="K925" s="457"/>
      <c r="L925" s="457"/>
      <c r="M925" s="457"/>
      <c r="N925" s="457"/>
      <c r="O925" s="457"/>
      <c r="P925" s="457"/>
      <c r="Q925" s="457"/>
      <c r="R925" s="457"/>
      <c r="S925" s="784"/>
      <c r="T925" s="785"/>
      <c r="U925" s="786"/>
      <c r="V925" s="784"/>
      <c r="W925" s="785"/>
      <c r="X925" s="786"/>
      <c r="Y925" s="787"/>
      <c r="Z925" s="788"/>
      <c r="AA925" s="788"/>
      <c r="AB925" s="788"/>
      <c r="AC925" s="788"/>
      <c r="AD925" s="789"/>
      <c r="AE925" s="449"/>
      <c r="AF925" s="449"/>
      <c r="AG925" s="449"/>
      <c r="AH925" s="770"/>
      <c r="AI925" s="771"/>
      <c r="AJ925" s="790"/>
      <c r="AK925" s="791"/>
      <c r="AL925" s="792"/>
      <c r="AM925" s="792"/>
      <c r="AN925" s="793"/>
      <c r="AO925" s="770"/>
      <c r="AP925" s="771"/>
      <c r="AQ925" s="771"/>
      <c r="AR925" s="772"/>
    </row>
    <row r="926" spans="3:44" ht="18" customHeight="1">
      <c r="C926" s="758"/>
      <c r="D926" s="759"/>
      <c r="E926" s="760"/>
      <c r="F926" s="761"/>
      <c r="G926" s="762"/>
      <c r="H926" s="762"/>
      <c r="I926" s="762"/>
      <c r="J926" s="762"/>
      <c r="K926" s="762"/>
      <c r="L926" s="762"/>
      <c r="M926" s="762"/>
      <c r="N926" s="762"/>
      <c r="O926" s="762"/>
      <c r="P926" s="762"/>
      <c r="Q926" s="762"/>
      <c r="R926" s="763"/>
      <c r="S926" s="764"/>
      <c r="T926" s="765"/>
      <c r="U926" s="766"/>
      <c r="V926" s="764"/>
      <c r="W926" s="765"/>
      <c r="X926" s="766"/>
      <c r="Y926" s="767"/>
      <c r="Z926" s="768"/>
      <c r="AA926" s="768"/>
      <c r="AB926" s="768"/>
      <c r="AC926" s="768"/>
      <c r="AD926" s="769"/>
      <c r="AE926" s="740"/>
      <c r="AF926" s="741"/>
      <c r="AG926" s="757"/>
      <c r="AH926" s="740"/>
      <c r="AI926" s="741"/>
      <c r="AJ926" s="757"/>
      <c r="AK926" s="737"/>
      <c r="AL926" s="738"/>
      <c r="AM926" s="738"/>
      <c r="AN926" s="739"/>
      <c r="AO926" s="740">
        <f t="shared" ref="AO926:AO932" si="13">ROUND(AE926*AH926*AK926,2)</f>
        <v>0</v>
      </c>
      <c r="AP926" s="741"/>
      <c r="AQ926" s="741"/>
      <c r="AR926" s="742"/>
    </row>
    <row r="927" spans="3:44" ht="18" customHeight="1">
      <c r="C927" s="758"/>
      <c r="D927" s="759"/>
      <c r="E927" s="760"/>
      <c r="F927" s="761"/>
      <c r="G927" s="762"/>
      <c r="H927" s="762"/>
      <c r="I927" s="762"/>
      <c r="J927" s="762"/>
      <c r="K927" s="762"/>
      <c r="L927" s="762"/>
      <c r="M927" s="762"/>
      <c r="N927" s="762"/>
      <c r="O927" s="762"/>
      <c r="P927" s="762"/>
      <c r="Q927" s="762"/>
      <c r="R927" s="763"/>
      <c r="S927" s="764"/>
      <c r="T927" s="765"/>
      <c r="U927" s="766"/>
      <c r="V927" s="764"/>
      <c r="W927" s="765"/>
      <c r="X927" s="766"/>
      <c r="Y927" s="767"/>
      <c r="Z927" s="768"/>
      <c r="AA927" s="768"/>
      <c r="AB927" s="768"/>
      <c r="AC927" s="768"/>
      <c r="AD927" s="769"/>
      <c r="AE927" s="740"/>
      <c r="AF927" s="741"/>
      <c r="AG927" s="757"/>
      <c r="AH927" s="740"/>
      <c r="AI927" s="741"/>
      <c r="AJ927" s="757"/>
      <c r="AK927" s="737"/>
      <c r="AL927" s="738"/>
      <c r="AM927" s="738"/>
      <c r="AN927" s="739"/>
      <c r="AO927" s="740">
        <f t="shared" si="13"/>
        <v>0</v>
      </c>
      <c r="AP927" s="741"/>
      <c r="AQ927" s="741"/>
      <c r="AR927" s="742"/>
    </row>
    <row r="928" spans="3:44" ht="18" customHeight="1">
      <c r="C928" s="758"/>
      <c r="D928" s="759"/>
      <c r="E928" s="760"/>
      <c r="F928" s="761"/>
      <c r="G928" s="762"/>
      <c r="H928" s="762"/>
      <c r="I928" s="762"/>
      <c r="J928" s="762"/>
      <c r="K928" s="762"/>
      <c r="L928" s="762"/>
      <c r="M928" s="762"/>
      <c r="N928" s="762"/>
      <c r="O928" s="762"/>
      <c r="P928" s="762"/>
      <c r="Q928" s="762"/>
      <c r="R928" s="763"/>
      <c r="S928" s="764"/>
      <c r="T928" s="765"/>
      <c r="U928" s="766"/>
      <c r="V928" s="764"/>
      <c r="W928" s="765"/>
      <c r="X928" s="766"/>
      <c r="Y928" s="767"/>
      <c r="Z928" s="768"/>
      <c r="AA928" s="768"/>
      <c r="AB928" s="768"/>
      <c r="AC928" s="768"/>
      <c r="AD928" s="769"/>
      <c r="AE928" s="740"/>
      <c r="AF928" s="741"/>
      <c r="AG928" s="757"/>
      <c r="AH928" s="740"/>
      <c r="AI928" s="741"/>
      <c r="AJ928" s="757"/>
      <c r="AK928" s="737"/>
      <c r="AL928" s="738"/>
      <c r="AM928" s="738"/>
      <c r="AN928" s="739"/>
      <c r="AO928" s="740">
        <f t="shared" si="13"/>
        <v>0</v>
      </c>
      <c r="AP928" s="741"/>
      <c r="AQ928" s="741"/>
      <c r="AR928" s="742"/>
    </row>
    <row r="929" spans="1:44" ht="18" customHeight="1">
      <c r="C929" s="758"/>
      <c r="D929" s="759"/>
      <c r="E929" s="760"/>
      <c r="F929" s="761"/>
      <c r="G929" s="762"/>
      <c r="H929" s="762"/>
      <c r="I929" s="762"/>
      <c r="J929" s="762"/>
      <c r="K929" s="762"/>
      <c r="L929" s="762"/>
      <c r="M929" s="762"/>
      <c r="N929" s="762"/>
      <c r="O929" s="762"/>
      <c r="P929" s="762"/>
      <c r="Q929" s="762"/>
      <c r="R929" s="763"/>
      <c r="S929" s="764"/>
      <c r="T929" s="765"/>
      <c r="U929" s="766"/>
      <c r="V929" s="764"/>
      <c r="W929" s="765"/>
      <c r="X929" s="766"/>
      <c r="Y929" s="767"/>
      <c r="Z929" s="768"/>
      <c r="AA929" s="768"/>
      <c r="AB929" s="768"/>
      <c r="AC929" s="768"/>
      <c r="AD929" s="769"/>
      <c r="AE929" s="740"/>
      <c r="AF929" s="741"/>
      <c r="AG929" s="757"/>
      <c r="AH929" s="740"/>
      <c r="AI929" s="741"/>
      <c r="AJ929" s="757"/>
      <c r="AK929" s="737"/>
      <c r="AL929" s="738"/>
      <c r="AM929" s="738"/>
      <c r="AN929" s="739"/>
      <c r="AO929" s="740">
        <f t="shared" si="13"/>
        <v>0</v>
      </c>
      <c r="AP929" s="741"/>
      <c r="AQ929" s="741"/>
      <c r="AR929" s="742"/>
    </row>
    <row r="930" spans="1:44" ht="18" customHeight="1">
      <c r="C930" s="758"/>
      <c r="D930" s="759"/>
      <c r="E930" s="760"/>
      <c r="F930" s="761"/>
      <c r="G930" s="762"/>
      <c r="H930" s="762"/>
      <c r="I930" s="762"/>
      <c r="J930" s="762"/>
      <c r="K930" s="762"/>
      <c r="L930" s="762"/>
      <c r="M930" s="762"/>
      <c r="N930" s="762"/>
      <c r="O930" s="762"/>
      <c r="P930" s="762"/>
      <c r="Q930" s="762"/>
      <c r="R930" s="763"/>
      <c r="S930" s="764"/>
      <c r="T930" s="765"/>
      <c r="U930" s="766"/>
      <c r="V930" s="764"/>
      <c r="W930" s="765"/>
      <c r="X930" s="766"/>
      <c r="Y930" s="767"/>
      <c r="Z930" s="768"/>
      <c r="AA930" s="768"/>
      <c r="AB930" s="768"/>
      <c r="AC930" s="768"/>
      <c r="AD930" s="769"/>
      <c r="AE930" s="740"/>
      <c r="AF930" s="741"/>
      <c r="AG930" s="757"/>
      <c r="AH930" s="740"/>
      <c r="AI930" s="741"/>
      <c r="AJ930" s="757"/>
      <c r="AK930" s="737"/>
      <c r="AL930" s="738"/>
      <c r="AM930" s="738"/>
      <c r="AN930" s="739"/>
      <c r="AO930" s="740">
        <f t="shared" si="13"/>
        <v>0</v>
      </c>
      <c r="AP930" s="741"/>
      <c r="AQ930" s="741"/>
      <c r="AR930" s="742"/>
    </row>
    <row r="931" spans="1:44" ht="18" customHeight="1">
      <c r="C931" s="758"/>
      <c r="D931" s="759"/>
      <c r="E931" s="760"/>
      <c r="F931" s="761"/>
      <c r="G931" s="762"/>
      <c r="H931" s="762"/>
      <c r="I931" s="762"/>
      <c r="J931" s="762"/>
      <c r="K931" s="762"/>
      <c r="L931" s="762"/>
      <c r="M931" s="762"/>
      <c r="N931" s="762"/>
      <c r="O931" s="762"/>
      <c r="P931" s="762"/>
      <c r="Q931" s="762"/>
      <c r="R931" s="763"/>
      <c r="S931" s="764"/>
      <c r="T931" s="765"/>
      <c r="U931" s="766"/>
      <c r="V931" s="764"/>
      <c r="W931" s="765"/>
      <c r="X931" s="766"/>
      <c r="Y931" s="767"/>
      <c r="Z931" s="768"/>
      <c r="AA931" s="768"/>
      <c r="AB931" s="768"/>
      <c r="AC931" s="768"/>
      <c r="AD931" s="769"/>
      <c r="AE931" s="740"/>
      <c r="AF931" s="741"/>
      <c r="AG931" s="757"/>
      <c r="AH931" s="740"/>
      <c r="AI931" s="741"/>
      <c r="AJ931" s="757"/>
      <c r="AK931" s="737"/>
      <c r="AL931" s="738"/>
      <c r="AM931" s="738"/>
      <c r="AN931" s="739"/>
      <c r="AO931" s="740">
        <f t="shared" si="13"/>
        <v>0</v>
      </c>
      <c r="AP931" s="741"/>
      <c r="AQ931" s="741"/>
      <c r="AR931" s="742"/>
    </row>
    <row r="932" spans="1:44" ht="18" customHeight="1">
      <c r="C932" s="758"/>
      <c r="D932" s="759"/>
      <c r="E932" s="760"/>
      <c r="F932" s="761"/>
      <c r="G932" s="762"/>
      <c r="H932" s="762"/>
      <c r="I932" s="762"/>
      <c r="J932" s="762"/>
      <c r="K932" s="762"/>
      <c r="L932" s="762"/>
      <c r="M932" s="762"/>
      <c r="N932" s="762"/>
      <c r="O932" s="762"/>
      <c r="P932" s="762"/>
      <c r="Q932" s="762"/>
      <c r="R932" s="763"/>
      <c r="S932" s="764"/>
      <c r="T932" s="765"/>
      <c r="U932" s="766"/>
      <c r="V932" s="764"/>
      <c r="W932" s="765"/>
      <c r="X932" s="766"/>
      <c r="Y932" s="767"/>
      <c r="Z932" s="768"/>
      <c r="AA932" s="768"/>
      <c r="AB932" s="768"/>
      <c r="AC932" s="768"/>
      <c r="AD932" s="769"/>
      <c r="AE932" s="740"/>
      <c r="AF932" s="741"/>
      <c r="AG932" s="757"/>
      <c r="AH932" s="740"/>
      <c r="AI932" s="741"/>
      <c r="AJ932" s="757"/>
      <c r="AK932" s="737"/>
      <c r="AL932" s="738"/>
      <c r="AM932" s="738"/>
      <c r="AN932" s="739"/>
      <c r="AO932" s="740">
        <f t="shared" si="13"/>
        <v>0</v>
      </c>
      <c r="AP932" s="741"/>
      <c r="AQ932" s="741"/>
      <c r="AR932" s="742"/>
    </row>
    <row r="933" spans="1:44" ht="18" customHeight="1">
      <c r="C933" s="743"/>
      <c r="D933" s="744"/>
      <c r="E933" s="744"/>
      <c r="F933" s="744"/>
      <c r="G933" s="744"/>
      <c r="H933" s="744"/>
      <c r="I933" s="744"/>
      <c r="J933" s="744"/>
      <c r="K933" s="744"/>
      <c r="L933" s="744"/>
      <c r="M933" s="744"/>
      <c r="N933" s="744"/>
      <c r="O933" s="744"/>
      <c r="P933" s="744"/>
      <c r="Q933" s="744"/>
      <c r="R933" s="744"/>
      <c r="S933" s="744"/>
      <c r="T933" s="744"/>
      <c r="U933" s="744"/>
      <c r="V933" s="744"/>
      <c r="W933" s="744"/>
      <c r="X933" s="744"/>
      <c r="Y933" s="745" t="s">
        <v>95</v>
      </c>
      <c r="Z933" s="745"/>
      <c r="AA933" s="745"/>
      <c r="AB933" s="745"/>
      <c r="AC933" s="745"/>
      <c r="AD933" s="745"/>
      <c r="AE933" s="745"/>
      <c r="AF933" s="745"/>
      <c r="AG933" s="745"/>
      <c r="AH933" s="745"/>
      <c r="AI933" s="745"/>
      <c r="AJ933" s="745"/>
      <c r="AK933" s="745"/>
      <c r="AL933" s="745"/>
      <c r="AM933" s="745"/>
      <c r="AN933" s="430"/>
      <c r="AO933" s="477">
        <f>SUM(AO925:AR932)</f>
        <v>0</v>
      </c>
      <c r="AP933" s="746"/>
      <c r="AQ933" s="746"/>
      <c r="AR933" s="747"/>
    </row>
    <row r="935" spans="1:44" ht="18" customHeight="1">
      <c r="C935" s="434"/>
      <c r="D935" s="434"/>
      <c r="E935" s="434"/>
      <c r="F935" s="434"/>
      <c r="G935" s="434"/>
      <c r="H935" s="434"/>
      <c r="I935" s="434"/>
      <c r="J935" s="434"/>
      <c r="K935" s="434"/>
      <c r="L935" s="434"/>
      <c r="M935" s="434"/>
      <c r="N935" s="434"/>
      <c r="O935" s="434"/>
      <c r="P935" s="434"/>
      <c r="Q935" s="434"/>
      <c r="R935" s="434"/>
      <c r="S935" s="434"/>
      <c r="T935" s="434"/>
      <c r="U935" s="434"/>
      <c r="V935" s="434"/>
      <c r="W935" s="434"/>
      <c r="X935" s="748"/>
      <c r="Y935" s="749" t="s">
        <v>96</v>
      </c>
      <c r="Z935" s="750"/>
      <c r="AA935" s="750"/>
      <c r="AB935" s="750"/>
      <c r="AC935" s="750"/>
      <c r="AD935" s="750"/>
      <c r="AE935" s="750"/>
      <c r="AF935" s="750"/>
      <c r="AG935" s="750"/>
      <c r="AH935" s="750"/>
      <c r="AI935" s="750"/>
      <c r="AJ935" s="750"/>
      <c r="AK935" s="750"/>
      <c r="AL935" s="750"/>
      <c r="AM935" s="750"/>
      <c r="AN935" s="751"/>
      <c r="AO935" s="752">
        <f>AO909+AO921+AO933</f>
        <v>21938.17</v>
      </c>
      <c r="AP935" s="753"/>
      <c r="AQ935" s="753"/>
      <c r="AR935" s="754"/>
    </row>
    <row r="936" spans="1:44" ht="18" customHeight="1">
      <c r="C936" s="434"/>
      <c r="D936" s="434"/>
      <c r="E936" s="434"/>
      <c r="F936" s="434"/>
      <c r="G936" s="434"/>
      <c r="H936" s="434"/>
      <c r="I936" s="434"/>
      <c r="J936" s="434"/>
      <c r="K936" s="434"/>
      <c r="L936" s="434"/>
      <c r="M936" s="434"/>
      <c r="N936" s="434"/>
      <c r="O936" s="434"/>
      <c r="P936" s="434"/>
      <c r="Q936" s="434"/>
      <c r="R936" s="434"/>
      <c r="S936" s="434"/>
      <c r="T936" s="434"/>
      <c r="U936" s="434"/>
      <c r="V936" s="434"/>
      <c r="W936" s="434"/>
      <c r="X936" s="748"/>
      <c r="Y936" s="755" t="s">
        <v>97</v>
      </c>
      <c r="Z936" s="756"/>
      <c r="AA936" s="756"/>
      <c r="AB936" s="756"/>
      <c r="AC936" s="756"/>
      <c r="AD936" s="756"/>
      <c r="AE936" s="756"/>
      <c r="AF936" s="756"/>
      <c r="AG936" s="756"/>
      <c r="AH936" s="442">
        <v>0.2031</v>
      </c>
      <c r="AI936" s="442"/>
      <c r="AJ936" s="442"/>
      <c r="AK936" s="442"/>
      <c r="AL936" s="442"/>
      <c r="AM936" s="442"/>
      <c r="AN936" s="443"/>
      <c r="AO936" s="728">
        <f>ROUND(AO935*AH936,2)</f>
        <v>4455.6400000000003</v>
      </c>
      <c r="AP936" s="729"/>
      <c r="AQ936" s="729"/>
      <c r="AR936" s="730"/>
    </row>
    <row r="937" spans="1:44" ht="18" customHeight="1">
      <c r="A937" s="415" t="s">
        <v>453</v>
      </c>
      <c r="B937" s="415"/>
      <c r="C937" s="434"/>
      <c r="D937" s="434"/>
      <c r="E937" s="434"/>
      <c r="F937" s="434"/>
      <c r="G937" s="434"/>
      <c r="H937" s="434"/>
      <c r="I937" s="434"/>
      <c r="J937" s="434"/>
      <c r="K937" s="434"/>
      <c r="L937" s="434"/>
      <c r="M937" s="434"/>
      <c r="N937" s="434"/>
      <c r="O937" s="434"/>
      <c r="P937" s="434"/>
      <c r="Q937" s="434"/>
      <c r="R937" s="434"/>
      <c r="S937" s="434"/>
      <c r="T937" s="434"/>
      <c r="U937" s="434"/>
      <c r="V937" s="434"/>
      <c r="W937" s="434"/>
      <c r="X937" s="748"/>
      <c r="Y937" s="731" t="s">
        <v>98</v>
      </c>
      <c r="Z937" s="732"/>
      <c r="AA937" s="732"/>
      <c r="AB937" s="732"/>
      <c r="AC937" s="732"/>
      <c r="AD937" s="732"/>
      <c r="AE937" s="732"/>
      <c r="AF937" s="732"/>
      <c r="AG937" s="732"/>
      <c r="AH937" s="732"/>
      <c r="AI937" s="732"/>
      <c r="AJ937" s="732"/>
      <c r="AK937" s="732"/>
      <c r="AL937" s="732"/>
      <c r="AM937" s="732"/>
      <c r="AN937" s="733"/>
      <c r="AO937" s="734">
        <f>SUM(AO935:AR936)</f>
        <v>26393.809999999998</v>
      </c>
      <c r="AP937" s="735"/>
      <c r="AQ937" s="735"/>
      <c r="AR937" s="736"/>
    </row>
    <row r="939" spans="1:44" ht="18" customHeight="1">
      <c r="C939" s="420" t="s">
        <v>99</v>
      </c>
      <c r="D939" s="421"/>
      <c r="E939" s="421"/>
      <c r="F939" s="421"/>
      <c r="G939" s="421"/>
      <c r="H939" s="421"/>
      <c r="I939" s="422"/>
      <c r="J939" s="422"/>
      <c r="K939" s="422"/>
      <c r="L939" s="422"/>
      <c r="M939" s="422"/>
      <c r="N939" s="422"/>
      <c r="O939" s="422"/>
      <c r="P939" s="422"/>
      <c r="Q939" s="422"/>
      <c r="R939" s="422"/>
      <c r="S939" s="422"/>
      <c r="T939" s="422"/>
      <c r="U939" s="422"/>
      <c r="V939" s="422"/>
      <c r="W939" s="422"/>
      <c r="X939" s="422"/>
      <c r="Y939" s="422"/>
      <c r="Z939" s="422"/>
      <c r="AA939" s="422"/>
      <c r="AB939" s="422"/>
      <c r="AC939" s="422"/>
      <c r="AD939" s="422"/>
      <c r="AE939" s="422"/>
      <c r="AF939" s="422"/>
      <c r="AG939" s="422"/>
      <c r="AH939" s="422"/>
      <c r="AI939" s="422"/>
      <c r="AJ939" s="422"/>
      <c r="AK939" s="422"/>
      <c r="AL939" s="422"/>
      <c r="AM939" s="422"/>
      <c r="AN939" s="422"/>
      <c r="AO939" s="422"/>
      <c r="AP939" s="422"/>
      <c r="AQ939" s="422"/>
      <c r="AR939" s="423"/>
    </row>
    <row r="940" spans="1:44" ht="18" customHeight="1">
      <c r="C940" s="411"/>
      <c r="D940" s="412"/>
      <c r="E940" s="412"/>
      <c r="F940" s="412"/>
      <c r="G940" s="412"/>
      <c r="H940" s="412"/>
      <c r="I940" s="409"/>
      <c r="J940" s="409"/>
      <c r="K940" s="409"/>
      <c r="L940" s="409"/>
      <c r="M940" s="409"/>
      <c r="N940" s="409"/>
      <c r="O940" s="409"/>
      <c r="P940" s="409"/>
      <c r="Q940" s="409"/>
      <c r="R940" s="409"/>
      <c r="S940" s="409"/>
      <c r="T940" s="409"/>
      <c r="U940" s="409"/>
      <c r="V940" s="409"/>
      <c r="W940" s="409"/>
      <c r="X940" s="409"/>
      <c r="Y940" s="409"/>
      <c r="Z940" s="409"/>
      <c r="AA940" s="409"/>
      <c r="AB940" s="409"/>
      <c r="AC940" s="409"/>
      <c r="AD940" s="409"/>
      <c r="AE940" s="409"/>
      <c r="AF940" s="409"/>
      <c r="AG940" s="409"/>
      <c r="AH940" s="409"/>
      <c r="AI940" s="409"/>
      <c r="AJ940" s="409"/>
      <c r="AK940" s="409"/>
      <c r="AL940" s="409"/>
      <c r="AM940" s="409"/>
      <c r="AN940" s="409"/>
      <c r="AO940" s="409"/>
      <c r="AP940" s="409"/>
      <c r="AQ940" s="409"/>
      <c r="AR940" s="410"/>
    </row>
    <row r="941" spans="1:44" ht="18" customHeight="1">
      <c r="C941" s="411"/>
      <c r="D941" s="412"/>
      <c r="E941" s="412"/>
      <c r="F941" s="412"/>
      <c r="G941" s="412"/>
      <c r="H941" s="412"/>
      <c r="I941" s="409"/>
      <c r="J941" s="409"/>
      <c r="K941" s="409"/>
      <c r="L941" s="409"/>
      <c r="M941" s="409"/>
      <c r="N941" s="409"/>
      <c r="O941" s="409"/>
      <c r="P941" s="409"/>
      <c r="Q941" s="409"/>
      <c r="R941" s="409"/>
      <c r="S941" s="409"/>
      <c r="T941" s="409"/>
      <c r="U941" s="409"/>
      <c r="V941" s="409"/>
      <c r="W941" s="409"/>
      <c r="X941" s="409"/>
      <c r="Y941" s="409"/>
      <c r="Z941" s="409"/>
      <c r="AA941" s="409"/>
      <c r="AB941" s="409"/>
      <c r="AC941" s="409"/>
      <c r="AD941" s="409"/>
      <c r="AE941" s="409"/>
      <c r="AF941" s="409"/>
      <c r="AG941" s="409"/>
      <c r="AH941" s="409"/>
      <c r="AI941" s="409"/>
      <c r="AJ941" s="409"/>
      <c r="AK941" s="409"/>
      <c r="AL941" s="409"/>
      <c r="AM941" s="409"/>
      <c r="AN941" s="409"/>
      <c r="AO941" s="409"/>
      <c r="AP941" s="409"/>
      <c r="AQ941" s="409"/>
      <c r="AR941" s="410"/>
    </row>
    <row r="942" spans="1:44" ht="18" customHeight="1">
      <c r="C942" s="411"/>
      <c r="D942" s="412"/>
      <c r="E942" s="412"/>
      <c r="F942" s="412"/>
      <c r="G942" s="412"/>
      <c r="H942" s="412"/>
      <c r="I942" s="409"/>
      <c r="J942" s="409"/>
      <c r="K942" s="409"/>
      <c r="L942" s="409"/>
      <c r="M942" s="409"/>
      <c r="N942" s="409"/>
      <c r="O942" s="409"/>
      <c r="P942" s="409"/>
      <c r="Q942" s="409"/>
      <c r="R942" s="409"/>
      <c r="S942" s="409"/>
      <c r="T942" s="409"/>
      <c r="U942" s="409"/>
      <c r="V942" s="409"/>
      <c r="W942" s="409"/>
      <c r="X942" s="409"/>
      <c r="Y942" s="409"/>
      <c r="Z942" s="409"/>
      <c r="AA942" s="409"/>
      <c r="AB942" s="409"/>
      <c r="AC942" s="409"/>
      <c r="AD942" s="409"/>
      <c r="AE942" s="409"/>
      <c r="AF942" s="409"/>
      <c r="AG942" s="409"/>
      <c r="AH942" s="409"/>
      <c r="AI942" s="409"/>
      <c r="AJ942" s="409"/>
      <c r="AK942" s="409"/>
      <c r="AL942" s="409"/>
      <c r="AM942" s="409"/>
      <c r="AN942" s="409"/>
      <c r="AO942" s="409"/>
      <c r="AP942" s="409"/>
      <c r="AQ942" s="409"/>
      <c r="AR942" s="410"/>
    </row>
    <row r="943" spans="1:44" ht="18" customHeight="1">
      <c r="C943" s="411"/>
      <c r="D943" s="412"/>
      <c r="E943" s="412"/>
      <c r="F943" s="412"/>
      <c r="G943" s="412"/>
      <c r="H943" s="412"/>
      <c r="I943" s="409"/>
      <c r="J943" s="409"/>
      <c r="K943" s="409"/>
      <c r="L943" s="409"/>
      <c r="M943" s="409"/>
      <c r="N943" s="409"/>
      <c r="O943" s="409"/>
      <c r="P943" s="409"/>
      <c r="Q943" s="409"/>
      <c r="R943" s="409"/>
      <c r="S943" s="409"/>
      <c r="T943" s="409"/>
      <c r="U943" s="409"/>
      <c r="V943" s="409"/>
      <c r="W943" s="409"/>
      <c r="X943" s="409"/>
      <c r="Y943" s="409"/>
      <c r="Z943" s="409"/>
      <c r="AA943" s="409"/>
      <c r="AB943" s="409"/>
      <c r="AC943" s="409"/>
      <c r="AD943" s="409"/>
      <c r="AE943" s="409"/>
      <c r="AF943" s="409"/>
      <c r="AG943" s="409"/>
      <c r="AH943" s="409"/>
      <c r="AI943" s="409"/>
      <c r="AJ943" s="409"/>
      <c r="AK943" s="409"/>
      <c r="AL943" s="409"/>
      <c r="AM943" s="409"/>
      <c r="AN943" s="409"/>
      <c r="AO943" s="409"/>
      <c r="AP943" s="409"/>
      <c r="AQ943" s="409"/>
      <c r="AR943" s="410"/>
    </row>
    <row r="944" spans="1:44" ht="18" customHeight="1">
      <c r="C944" s="385"/>
      <c r="D944" s="386"/>
      <c r="E944" s="386"/>
      <c r="F944" s="386"/>
      <c r="G944" s="386"/>
      <c r="H944" s="386"/>
      <c r="I944" s="387"/>
      <c r="J944" s="387"/>
      <c r="K944" s="387"/>
      <c r="L944" s="387"/>
      <c r="M944" s="387"/>
      <c r="N944" s="387"/>
      <c r="O944" s="387"/>
      <c r="P944" s="387"/>
      <c r="Q944" s="387"/>
      <c r="R944" s="387"/>
      <c r="S944" s="387"/>
      <c r="T944" s="387"/>
      <c r="U944" s="387"/>
      <c r="V944" s="387"/>
      <c r="W944" s="387"/>
      <c r="X944" s="387"/>
      <c r="Y944" s="387"/>
      <c r="Z944" s="387"/>
      <c r="AA944" s="387"/>
      <c r="AB944" s="387"/>
      <c r="AC944" s="387"/>
      <c r="AD944" s="387"/>
      <c r="AE944" s="387"/>
      <c r="AF944" s="387"/>
      <c r="AG944" s="387"/>
      <c r="AH944" s="387"/>
      <c r="AI944" s="387"/>
      <c r="AJ944" s="387"/>
      <c r="AK944" s="387"/>
      <c r="AL944" s="387"/>
      <c r="AM944" s="387"/>
      <c r="AN944" s="387"/>
      <c r="AO944" s="387"/>
      <c r="AP944" s="387"/>
      <c r="AQ944" s="387"/>
      <c r="AR944" s="388"/>
    </row>
    <row r="946" spans="3:44" ht="18" customHeight="1">
      <c r="C946" s="389" t="s">
        <v>100</v>
      </c>
      <c r="D946" s="390"/>
      <c r="E946" s="390"/>
      <c r="F946" s="390"/>
      <c r="G946" s="390"/>
      <c r="H946" s="390"/>
      <c r="I946" s="390"/>
      <c r="J946" s="390"/>
      <c r="K946" s="390"/>
      <c r="L946" s="390"/>
      <c r="M946" s="390"/>
      <c r="N946" s="390"/>
      <c r="O946" s="390"/>
      <c r="P946" s="390"/>
      <c r="Q946" s="390"/>
      <c r="R946" s="390"/>
      <c r="S946" s="390"/>
      <c r="T946" s="390"/>
      <c r="U946" s="390"/>
      <c r="V946" s="390"/>
      <c r="W946" s="390"/>
      <c r="X946" s="390"/>
      <c r="Y946" s="390"/>
      <c r="Z946" s="390"/>
      <c r="AA946" s="391"/>
      <c r="AB946" s="392" t="str">
        <f>[4]C.UNIT.SERV.!$E$5</f>
        <v>DATA-BASE:      MAIO/2011/PR</v>
      </c>
      <c r="AC946" s="393"/>
      <c r="AD946" s="393"/>
      <c r="AE946" s="393"/>
      <c r="AF946" s="393"/>
      <c r="AG946" s="393"/>
      <c r="AH946" s="393"/>
      <c r="AI946" s="394"/>
      <c r="AJ946" s="392"/>
      <c r="AK946" s="393"/>
      <c r="AL946" s="393"/>
      <c r="AM946" s="393"/>
      <c r="AN946" s="393"/>
      <c r="AO946" s="393"/>
      <c r="AP946" s="393"/>
      <c r="AQ946" s="393"/>
      <c r="AR946" s="401"/>
    </row>
    <row r="947" spans="3:44" ht="18" customHeight="1">
      <c r="C947" s="404" t="s">
        <v>101</v>
      </c>
      <c r="D947" s="405"/>
      <c r="E947" s="405"/>
      <c r="F947" s="405"/>
      <c r="G947" s="405" t="s">
        <v>283</v>
      </c>
      <c r="H947" s="405"/>
      <c r="I947" s="405"/>
      <c r="J947" s="405"/>
      <c r="K947" s="405"/>
      <c r="L947" s="405"/>
      <c r="M947" s="405"/>
      <c r="N947" s="405"/>
      <c r="O947" s="405"/>
      <c r="P947" s="405"/>
      <c r="Q947" s="405"/>
      <c r="R947" s="405"/>
      <c r="S947" s="405"/>
      <c r="T947" s="405"/>
      <c r="U947" s="405"/>
      <c r="V947" s="405"/>
      <c r="W947" s="405"/>
      <c r="X947" s="405"/>
      <c r="Y947" s="405"/>
      <c r="Z947" s="405"/>
      <c r="AA947" s="406"/>
      <c r="AB947" s="395"/>
      <c r="AC947" s="396"/>
      <c r="AD947" s="396"/>
      <c r="AE947" s="396"/>
      <c r="AF947" s="396"/>
      <c r="AG947" s="396"/>
      <c r="AH947" s="396"/>
      <c r="AI947" s="397"/>
      <c r="AJ947" s="395"/>
      <c r="AK947" s="396"/>
      <c r="AL947" s="396"/>
      <c r="AM947" s="396"/>
      <c r="AN947" s="396"/>
      <c r="AO947" s="396"/>
      <c r="AP947" s="396"/>
      <c r="AQ947" s="396"/>
      <c r="AR947" s="402"/>
    </row>
    <row r="948" spans="3:44" ht="18" customHeight="1">
      <c r="C948" s="404" t="s">
        <v>102</v>
      </c>
      <c r="D948" s="405"/>
      <c r="E948" s="405"/>
      <c r="F948" s="405"/>
      <c r="G948" s="405"/>
      <c r="H948" s="405"/>
      <c r="I948" s="405"/>
      <c r="J948" s="405"/>
      <c r="K948" s="405"/>
      <c r="L948" s="405"/>
      <c r="M948" s="405"/>
      <c r="N948" s="405"/>
      <c r="O948" s="405"/>
      <c r="P948" s="405"/>
      <c r="Q948" s="405"/>
      <c r="R948" s="405"/>
      <c r="S948" s="405"/>
      <c r="T948" s="405"/>
      <c r="U948" s="405"/>
      <c r="V948" s="405"/>
      <c r="W948" s="405"/>
      <c r="X948" s="405"/>
      <c r="Y948" s="405"/>
      <c r="Z948" s="405"/>
      <c r="AA948" s="406"/>
      <c r="AB948" s="395"/>
      <c r="AC948" s="396"/>
      <c r="AD948" s="396"/>
      <c r="AE948" s="396"/>
      <c r="AF948" s="396"/>
      <c r="AG948" s="396"/>
      <c r="AH948" s="396"/>
      <c r="AI948" s="397"/>
      <c r="AJ948" s="395"/>
      <c r="AK948" s="396"/>
      <c r="AL948" s="396"/>
      <c r="AM948" s="396"/>
      <c r="AN948" s="396"/>
      <c r="AO948" s="396"/>
      <c r="AP948" s="396"/>
      <c r="AQ948" s="396"/>
      <c r="AR948" s="402"/>
    </row>
    <row r="949" spans="3:44" ht="18" customHeight="1">
      <c r="C949" s="407"/>
      <c r="D949" s="408"/>
      <c r="E949" s="408"/>
      <c r="F949" s="408"/>
      <c r="G949" s="408"/>
      <c r="H949" s="408"/>
      <c r="I949" s="408"/>
      <c r="J949" s="408"/>
      <c r="K949" s="408"/>
      <c r="L949" s="408"/>
      <c r="M949" s="408"/>
      <c r="N949" s="408"/>
      <c r="O949" s="408"/>
      <c r="P949" s="408"/>
      <c r="Q949" s="408"/>
      <c r="R949" s="408"/>
      <c r="S949" s="408"/>
      <c r="T949" s="408"/>
      <c r="U949" s="408"/>
      <c r="V949" s="408"/>
      <c r="W949" s="408"/>
      <c r="X949" s="408"/>
      <c r="Y949" s="408"/>
      <c r="Z949" s="408"/>
      <c r="AA949" s="408"/>
      <c r="AB949" s="398"/>
      <c r="AC949" s="399"/>
      <c r="AD949" s="399"/>
      <c r="AE949" s="399"/>
      <c r="AF949" s="399"/>
      <c r="AG949" s="399"/>
      <c r="AH949" s="399"/>
      <c r="AI949" s="400"/>
      <c r="AJ949" s="398"/>
      <c r="AK949" s="399"/>
      <c r="AL949" s="399"/>
      <c r="AM949" s="399"/>
      <c r="AN949" s="399"/>
      <c r="AO949" s="399"/>
      <c r="AP949" s="399"/>
      <c r="AQ949" s="399"/>
      <c r="AR949" s="403"/>
    </row>
    <row r="951" spans="3:44" ht="18" customHeight="1">
      <c r="C951" s="850" t="s">
        <v>64</v>
      </c>
      <c r="D951" s="851"/>
      <c r="E951" s="851"/>
      <c r="F951" s="851"/>
      <c r="G951" s="851"/>
      <c r="H951" s="851"/>
      <c r="I951" s="851"/>
      <c r="J951" s="851"/>
      <c r="K951" s="851"/>
      <c r="L951" s="851"/>
      <c r="M951" s="851"/>
      <c r="N951" s="851"/>
      <c r="O951" s="851"/>
      <c r="P951" s="851"/>
      <c r="Q951" s="851"/>
      <c r="R951" s="851"/>
      <c r="S951" s="851"/>
      <c r="T951" s="851"/>
      <c r="U951" s="851"/>
      <c r="V951" s="851"/>
      <c r="W951" s="851"/>
      <c r="X951" s="851"/>
      <c r="Y951" s="851"/>
      <c r="Z951" s="851"/>
      <c r="AA951" s="851"/>
      <c r="AB951" s="851"/>
      <c r="AC951" s="851"/>
      <c r="AD951" s="851"/>
      <c r="AE951" s="851"/>
      <c r="AF951" s="851"/>
      <c r="AG951" s="851"/>
      <c r="AH951" s="851"/>
      <c r="AI951" s="851"/>
      <c r="AJ951" s="851"/>
      <c r="AK951" s="851"/>
      <c r="AL951" s="851"/>
      <c r="AM951" s="851"/>
      <c r="AN951" s="851"/>
      <c r="AO951" s="851"/>
      <c r="AP951" s="851"/>
      <c r="AQ951" s="851"/>
      <c r="AR951" s="852"/>
    </row>
    <row r="952" spans="3:44" ht="18" customHeight="1">
      <c r="C952" s="853"/>
      <c r="D952" s="854"/>
      <c r="E952" s="854"/>
      <c r="F952" s="854"/>
      <c r="G952" s="854"/>
      <c r="H952" s="854"/>
      <c r="I952" s="854"/>
      <c r="J952" s="854"/>
      <c r="K952" s="854"/>
      <c r="L952" s="854"/>
      <c r="M952" s="854"/>
      <c r="N952" s="854"/>
      <c r="O952" s="854"/>
      <c r="P952" s="854"/>
      <c r="Q952" s="854"/>
      <c r="R952" s="854"/>
      <c r="S952" s="854"/>
      <c r="T952" s="854"/>
      <c r="U952" s="854"/>
      <c r="V952" s="854"/>
      <c r="W952" s="854"/>
      <c r="X952" s="854"/>
      <c r="Y952" s="854"/>
      <c r="Z952" s="854"/>
      <c r="AA952" s="854"/>
      <c r="AB952" s="854"/>
      <c r="AC952" s="854"/>
      <c r="AD952" s="854"/>
      <c r="AE952" s="854"/>
      <c r="AF952" s="854"/>
      <c r="AG952" s="854"/>
      <c r="AH952" s="854"/>
      <c r="AI952" s="854"/>
      <c r="AJ952" s="854"/>
      <c r="AK952" s="854"/>
      <c r="AL952" s="854"/>
      <c r="AM952" s="854"/>
      <c r="AN952" s="854"/>
      <c r="AO952" s="854"/>
      <c r="AP952" s="854"/>
      <c r="AQ952" s="854"/>
      <c r="AR952" s="855"/>
    </row>
    <row r="953" spans="3:44" ht="18" customHeight="1">
      <c r="C953" s="856" t="s">
        <v>65</v>
      </c>
      <c r="D953" s="857"/>
      <c r="E953" s="857"/>
      <c r="F953" s="857"/>
      <c r="G953" s="860" t="s">
        <v>869</v>
      </c>
      <c r="H953" s="860"/>
      <c r="I953" s="860"/>
      <c r="J953" s="861"/>
      <c r="K953" s="864" t="s">
        <v>66</v>
      </c>
      <c r="L953" s="865"/>
      <c r="M953" s="865"/>
      <c r="N953" s="865"/>
      <c r="O953" s="526" t="s">
        <v>865</v>
      </c>
      <c r="P953" s="526"/>
      <c r="Q953" s="526"/>
      <c r="R953" s="526"/>
      <c r="S953" s="526"/>
      <c r="T953" s="526"/>
      <c r="U953" s="526"/>
      <c r="V953" s="526"/>
      <c r="W953" s="526"/>
      <c r="X953" s="526"/>
      <c r="Y953" s="526"/>
      <c r="Z953" s="526"/>
      <c r="AA953" s="526"/>
      <c r="AB953" s="526"/>
      <c r="AC953" s="526"/>
      <c r="AD953" s="526"/>
      <c r="AE953" s="526"/>
      <c r="AF953" s="526"/>
      <c r="AG953" s="526"/>
      <c r="AH953" s="526"/>
      <c r="AI953" s="526"/>
      <c r="AJ953" s="526"/>
      <c r="AK953" s="527"/>
      <c r="AL953" s="864" t="s">
        <v>67</v>
      </c>
      <c r="AM953" s="865"/>
      <c r="AN953" s="865"/>
      <c r="AO953" s="865"/>
      <c r="AP953" s="843" t="s">
        <v>194</v>
      </c>
      <c r="AQ953" s="843"/>
      <c r="AR953" s="844"/>
    </row>
    <row r="954" spans="3:44" ht="18" customHeight="1">
      <c r="C954" s="858"/>
      <c r="D954" s="859"/>
      <c r="E954" s="859"/>
      <c r="F954" s="859"/>
      <c r="G954" s="862"/>
      <c r="H954" s="862"/>
      <c r="I954" s="862"/>
      <c r="J954" s="863"/>
      <c r="K954" s="866"/>
      <c r="L954" s="867"/>
      <c r="M954" s="867"/>
      <c r="N954" s="867"/>
      <c r="O954" s="528"/>
      <c r="P954" s="528"/>
      <c r="Q954" s="528"/>
      <c r="R954" s="528"/>
      <c r="S954" s="528"/>
      <c r="T954" s="528"/>
      <c r="U954" s="528"/>
      <c r="V954" s="528"/>
      <c r="W954" s="528"/>
      <c r="X954" s="528"/>
      <c r="Y954" s="528"/>
      <c r="Z954" s="528"/>
      <c r="AA954" s="528"/>
      <c r="AB954" s="528"/>
      <c r="AC954" s="528"/>
      <c r="AD954" s="528"/>
      <c r="AE954" s="528"/>
      <c r="AF954" s="528"/>
      <c r="AG954" s="528"/>
      <c r="AH954" s="528"/>
      <c r="AI954" s="528"/>
      <c r="AJ954" s="528"/>
      <c r="AK954" s="529"/>
      <c r="AL954" s="866"/>
      <c r="AM954" s="867"/>
      <c r="AN954" s="867"/>
      <c r="AO954" s="867"/>
      <c r="AP954" s="845"/>
      <c r="AQ954" s="845"/>
      <c r="AR954" s="846"/>
    </row>
    <row r="956" spans="3:44" ht="18" customHeight="1">
      <c r="C956" s="794" t="s">
        <v>43</v>
      </c>
      <c r="D956" s="774"/>
      <c r="E956" s="775"/>
      <c r="F956" s="773" t="s">
        <v>68</v>
      </c>
      <c r="G956" s="774"/>
      <c r="H956" s="774"/>
      <c r="I956" s="774"/>
      <c r="J956" s="774"/>
      <c r="K956" s="774"/>
      <c r="L956" s="774"/>
      <c r="M956" s="774"/>
      <c r="N956" s="774"/>
      <c r="O956" s="774"/>
      <c r="P956" s="774"/>
      <c r="Q956" s="774"/>
      <c r="R956" s="774"/>
      <c r="S956" s="774"/>
      <c r="T956" s="774"/>
      <c r="U956" s="775"/>
      <c r="V956" s="773" t="s">
        <v>249</v>
      </c>
      <c r="W956" s="774"/>
      <c r="X956" s="775"/>
      <c r="Y956" s="847" t="s">
        <v>69</v>
      </c>
      <c r="Z956" s="848"/>
      <c r="AA956" s="848"/>
      <c r="AB956" s="848"/>
      <c r="AC956" s="848"/>
      <c r="AD956" s="848"/>
      <c r="AE956" s="848"/>
      <c r="AF956" s="849"/>
      <c r="AG956" s="847" t="s">
        <v>70</v>
      </c>
      <c r="AH956" s="848"/>
      <c r="AI956" s="848"/>
      <c r="AJ956" s="848"/>
      <c r="AK956" s="848"/>
      <c r="AL956" s="848"/>
      <c r="AM956" s="848"/>
      <c r="AN956" s="849"/>
      <c r="AO956" s="773" t="s">
        <v>71</v>
      </c>
      <c r="AP956" s="774"/>
      <c r="AQ956" s="774"/>
      <c r="AR956" s="779"/>
    </row>
    <row r="957" spans="3:44" ht="18" customHeight="1">
      <c r="C957" s="795"/>
      <c r="D957" s="777"/>
      <c r="E957" s="778"/>
      <c r="F957" s="776"/>
      <c r="G957" s="777"/>
      <c r="H957" s="777"/>
      <c r="I957" s="777"/>
      <c r="J957" s="777"/>
      <c r="K957" s="777"/>
      <c r="L957" s="777"/>
      <c r="M957" s="777"/>
      <c r="N957" s="777"/>
      <c r="O957" s="777"/>
      <c r="P957" s="777"/>
      <c r="Q957" s="777"/>
      <c r="R957" s="777"/>
      <c r="S957" s="777"/>
      <c r="T957" s="777"/>
      <c r="U957" s="778"/>
      <c r="V957" s="776"/>
      <c r="W957" s="777"/>
      <c r="X957" s="778"/>
      <c r="Y957" s="834" t="s">
        <v>72</v>
      </c>
      <c r="Z957" s="835"/>
      <c r="AA957" s="835"/>
      <c r="AB957" s="836"/>
      <c r="AC957" s="834" t="s">
        <v>73</v>
      </c>
      <c r="AD957" s="835"/>
      <c r="AE957" s="835"/>
      <c r="AF957" s="836"/>
      <c r="AG957" s="834" t="s">
        <v>72</v>
      </c>
      <c r="AH957" s="835"/>
      <c r="AI957" s="835"/>
      <c r="AJ957" s="836"/>
      <c r="AK957" s="834" t="s">
        <v>73</v>
      </c>
      <c r="AL957" s="835"/>
      <c r="AM957" s="835"/>
      <c r="AN957" s="836"/>
      <c r="AO957" s="776"/>
      <c r="AP957" s="777"/>
      <c r="AQ957" s="777"/>
      <c r="AR957" s="780"/>
    </row>
    <row r="958" spans="3:44" ht="18" customHeight="1">
      <c r="C958" s="781" t="s">
        <v>1386</v>
      </c>
      <c r="D958" s="782"/>
      <c r="E958" s="783"/>
      <c r="F958" s="493" t="s">
        <v>866</v>
      </c>
      <c r="G958" s="493"/>
      <c r="H958" s="493"/>
      <c r="I958" s="493"/>
      <c r="J958" s="493"/>
      <c r="K958" s="493"/>
      <c r="L958" s="493"/>
      <c r="M958" s="493"/>
      <c r="N958" s="493"/>
      <c r="O958" s="493"/>
      <c r="P958" s="493"/>
      <c r="Q958" s="493"/>
      <c r="R958" s="493"/>
      <c r="S958" s="493"/>
      <c r="T958" s="493"/>
      <c r="U958" s="493"/>
      <c r="V958" s="837">
        <v>0.02</v>
      </c>
      <c r="W958" s="838"/>
      <c r="X958" s="839"/>
      <c r="Y958" s="837">
        <v>1</v>
      </c>
      <c r="Z958" s="838"/>
      <c r="AA958" s="838"/>
      <c r="AB958" s="839"/>
      <c r="AC958" s="840">
        <f>1-Y958</f>
        <v>0</v>
      </c>
      <c r="AD958" s="841"/>
      <c r="AE958" s="841"/>
      <c r="AF958" s="842"/>
      <c r="AG958" s="491">
        <f>VLOOKUP(C958,[4]EQUIPAMENTOS!A$1:D$65536,3,FALSE)</f>
        <v>120.4585</v>
      </c>
      <c r="AH958" s="491"/>
      <c r="AI958" s="491"/>
      <c r="AJ958" s="491"/>
      <c r="AK958" s="491">
        <f>VLOOKUP(C958,[4]EQUIPAMENTOS!A$1:D$65536,4,FALSE)</f>
        <v>17.939399999999999</v>
      </c>
      <c r="AL958" s="491"/>
      <c r="AM958" s="491"/>
      <c r="AN958" s="491"/>
      <c r="AO958" s="491">
        <f>ROUND((Y958*AG958+AC958*AK958)*V958,2)</f>
        <v>2.41</v>
      </c>
      <c r="AP958" s="491"/>
      <c r="AQ958" s="491"/>
      <c r="AR958" s="492"/>
    </row>
    <row r="959" spans="3:44" ht="18" customHeight="1">
      <c r="C959" s="758" t="s">
        <v>1387</v>
      </c>
      <c r="D959" s="759"/>
      <c r="E959" s="760"/>
      <c r="F959" s="493" t="s">
        <v>867</v>
      </c>
      <c r="G959" s="493"/>
      <c r="H959" s="493"/>
      <c r="I959" s="493"/>
      <c r="J959" s="493"/>
      <c r="K959" s="493"/>
      <c r="L959" s="493"/>
      <c r="M959" s="493"/>
      <c r="N959" s="493"/>
      <c r="O959" s="493"/>
      <c r="P959" s="493"/>
      <c r="Q959" s="493"/>
      <c r="R959" s="493"/>
      <c r="S959" s="493"/>
      <c r="T959" s="493"/>
      <c r="U959" s="493"/>
      <c r="V959" s="466">
        <v>0.01</v>
      </c>
      <c r="W959" s="467"/>
      <c r="X959" s="468"/>
      <c r="Y959" s="466">
        <v>1</v>
      </c>
      <c r="Z959" s="467"/>
      <c r="AA959" s="467"/>
      <c r="AB959" s="468"/>
      <c r="AC959" s="828">
        <f>1-Y959</f>
        <v>0</v>
      </c>
      <c r="AD959" s="829"/>
      <c r="AE959" s="829"/>
      <c r="AF959" s="830"/>
      <c r="AG959" s="491">
        <f>VLOOKUP(C959,[4]EQUIPAMENTOS!A$1:D$65536,3,FALSE)</f>
        <v>123.3065</v>
      </c>
      <c r="AH959" s="491"/>
      <c r="AI959" s="491"/>
      <c r="AJ959" s="491"/>
      <c r="AK959" s="491">
        <f>VLOOKUP(C959,[4]EQUIPAMENTOS!A$1:D$65536,4,FALSE)</f>
        <v>17.939399999999999</v>
      </c>
      <c r="AL959" s="491"/>
      <c r="AM959" s="491"/>
      <c r="AN959" s="491"/>
      <c r="AO959" s="491">
        <f>ROUND((Y959*AG959+AC959*AK959)*V959,2)</f>
        <v>1.23</v>
      </c>
      <c r="AP959" s="491"/>
      <c r="AQ959" s="491"/>
      <c r="AR959" s="492"/>
    </row>
    <row r="960" spans="3:44" ht="18" customHeight="1">
      <c r="C960" s="758"/>
      <c r="D960" s="759"/>
      <c r="E960" s="760"/>
      <c r="F960" s="493"/>
      <c r="G960" s="493"/>
      <c r="H960" s="493"/>
      <c r="I960" s="493"/>
      <c r="J960" s="493"/>
      <c r="K960" s="493"/>
      <c r="L960" s="493"/>
      <c r="M960" s="493"/>
      <c r="N960" s="493"/>
      <c r="O960" s="493"/>
      <c r="P960" s="493"/>
      <c r="Q960" s="493"/>
      <c r="R960" s="493"/>
      <c r="S960" s="493"/>
      <c r="T960" s="493"/>
      <c r="U960" s="493"/>
      <c r="V960" s="466"/>
      <c r="W960" s="467"/>
      <c r="X960" s="468"/>
      <c r="Y960" s="466"/>
      <c r="Z960" s="467"/>
      <c r="AA960" s="467"/>
      <c r="AB960" s="468"/>
      <c r="AC960" s="828"/>
      <c r="AD960" s="829"/>
      <c r="AE960" s="829"/>
      <c r="AF960" s="830"/>
      <c r="AG960" s="491"/>
      <c r="AH960" s="491"/>
      <c r="AI960" s="491"/>
      <c r="AJ960" s="491"/>
      <c r="AK960" s="491"/>
      <c r="AL960" s="491"/>
      <c r="AM960" s="491"/>
      <c r="AN960" s="491"/>
      <c r="AO960" s="491"/>
      <c r="AP960" s="491"/>
      <c r="AQ960" s="491"/>
      <c r="AR960" s="492"/>
    </row>
    <row r="961" spans="3:44" ht="18" customHeight="1">
      <c r="C961" s="758"/>
      <c r="D961" s="759"/>
      <c r="E961" s="760"/>
      <c r="F961" s="493"/>
      <c r="G961" s="493"/>
      <c r="H961" s="493"/>
      <c r="I961" s="493"/>
      <c r="J961" s="493"/>
      <c r="K961" s="493"/>
      <c r="L961" s="493"/>
      <c r="M961" s="493"/>
      <c r="N961" s="493"/>
      <c r="O961" s="493"/>
      <c r="P961" s="493"/>
      <c r="Q961" s="493"/>
      <c r="R961" s="493"/>
      <c r="S961" s="493"/>
      <c r="T961" s="493"/>
      <c r="U961" s="493"/>
      <c r="V961" s="466"/>
      <c r="W961" s="467"/>
      <c r="X961" s="468"/>
      <c r="Y961" s="466"/>
      <c r="Z961" s="467"/>
      <c r="AA961" s="467"/>
      <c r="AB961" s="468"/>
      <c r="AC961" s="828"/>
      <c r="AD961" s="829"/>
      <c r="AE961" s="829"/>
      <c r="AF961" s="830"/>
      <c r="AG961" s="491"/>
      <c r="AH961" s="491"/>
      <c r="AI961" s="491"/>
      <c r="AJ961" s="491"/>
      <c r="AK961" s="491"/>
      <c r="AL961" s="491"/>
      <c r="AM961" s="491"/>
      <c r="AN961" s="491"/>
      <c r="AO961" s="491"/>
      <c r="AP961" s="491"/>
      <c r="AQ961" s="491"/>
      <c r="AR961" s="492"/>
    </row>
    <row r="962" spans="3:44" ht="18" customHeight="1">
      <c r="C962" s="758"/>
      <c r="D962" s="759"/>
      <c r="E962" s="760"/>
      <c r="F962" s="493"/>
      <c r="G962" s="493"/>
      <c r="H962" s="493"/>
      <c r="I962" s="493"/>
      <c r="J962" s="493"/>
      <c r="K962" s="493"/>
      <c r="L962" s="493"/>
      <c r="M962" s="493"/>
      <c r="N962" s="493"/>
      <c r="O962" s="493"/>
      <c r="P962" s="493"/>
      <c r="Q962" s="493"/>
      <c r="R962" s="493"/>
      <c r="S962" s="493"/>
      <c r="T962" s="493"/>
      <c r="U962" s="493"/>
      <c r="V962" s="466"/>
      <c r="W962" s="467"/>
      <c r="X962" s="468"/>
      <c r="Y962" s="466"/>
      <c r="Z962" s="467"/>
      <c r="AA962" s="467"/>
      <c r="AB962" s="468"/>
      <c r="AC962" s="828"/>
      <c r="AD962" s="829"/>
      <c r="AE962" s="829"/>
      <c r="AF962" s="830"/>
      <c r="AG962" s="491"/>
      <c r="AH962" s="491"/>
      <c r="AI962" s="491"/>
      <c r="AJ962" s="491"/>
      <c r="AK962" s="491"/>
      <c r="AL962" s="491"/>
      <c r="AM962" s="491"/>
      <c r="AN962" s="491"/>
      <c r="AO962" s="491"/>
      <c r="AP962" s="491"/>
      <c r="AQ962" s="491"/>
      <c r="AR962" s="492"/>
    </row>
    <row r="963" spans="3:44" ht="18" customHeight="1">
      <c r="C963" s="758"/>
      <c r="D963" s="759"/>
      <c r="E963" s="760"/>
      <c r="F963" s="493"/>
      <c r="G963" s="493"/>
      <c r="H963" s="493"/>
      <c r="I963" s="493"/>
      <c r="J963" s="493"/>
      <c r="K963" s="493"/>
      <c r="L963" s="493"/>
      <c r="M963" s="493"/>
      <c r="N963" s="493"/>
      <c r="O963" s="493"/>
      <c r="P963" s="493"/>
      <c r="Q963" s="493"/>
      <c r="R963" s="493"/>
      <c r="S963" s="493"/>
      <c r="T963" s="493"/>
      <c r="U963" s="493"/>
      <c r="V963" s="466"/>
      <c r="W963" s="467"/>
      <c r="X963" s="468"/>
      <c r="Y963" s="466"/>
      <c r="Z963" s="467"/>
      <c r="AA963" s="467"/>
      <c r="AB963" s="468"/>
      <c r="AC963" s="828"/>
      <c r="AD963" s="829"/>
      <c r="AE963" s="829"/>
      <c r="AF963" s="830"/>
      <c r="AG963" s="491"/>
      <c r="AH963" s="491"/>
      <c r="AI963" s="491"/>
      <c r="AJ963" s="491"/>
      <c r="AK963" s="491"/>
      <c r="AL963" s="491"/>
      <c r="AM963" s="491"/>
      <c r="AN963" s="491"/>
      <c r="AO963" s="491"/>
      <c r="AP963" s="491"/>
      <c r="AQ963" s="491"/>
      <c r="AR963" s="492"/>
    </row>
    <row r="964" spans="3:44" ht="18" customHeight="1">
      <c r="C964" s="758"/>
      <c r="D964" s="759"/>
      <c r="E964" s="760"/>
      <c r="F964" s="796"/>
      <c r="G964" s="797"/>
      <c r="H964" s="797"/>
      <c r="I964" s="797"/>
      <c r="J964" s="797"/>
      <c r="K964" s="797"/>
      <c r="L964" s="797"/>
      <c r="M964" s="797"/>
      <c r="N964" s="797"/>
      <c r="O964" s="797"/>
      <c r="P964" s="797"/>
      <c r="Q964" s="797"/>
      <c r="R964" s="797"/>
      <c r="S964" s="797"/>
      <c r="T964" s="797"/>
      <c r="U964" s="798"/>
      <c r="V964" s="466"/>
      <c r="W964" s="467"/>
      <c r="X964" s="468"/>
      <c r="Y964" s="466"/>
      <c r="Z964" s="467"/>
      <c r="AA964" s="467"/>
      <c r="AB964" s="468"/>
      <c r="AC964" s="828"/>
      <c r="AD964" s="829"/>
      <c r="AE964" s="829"/>
      <c r="AF964" s="830"/>
      <c r="AG964" s="466"/>
      <c r="AH964" s="467"/>
      <c r="AI964" s="467"/>
      <c r="AJ964" s="468"/>
      <c r="AK964" s="466"/>
      <c r="AL964" s="467"/>
      <c r="AM964" s="467"/>
      <c r="AN964" s="468"/>
      <c r="AO964" s="466"/>
      <c r="AP964" s="467"/>
      <c r="AQ964" s="467"/>
      <c r="AR964" s="823"/>
    </row>
    <row r="965" spans="3:44" ht="18" customHeight="1">
      <c r="C965" s="758"/>
      <c r="D965" s="759"/>
      <c r="E965" s="760"/>
      <c r="F965" s="796"/>
      <c r="G965" s="797"/>
      <c r="H965" s="797"/>
      <c r="I965" s="797"/>
      <c r="J965" s="797"/>
      <c r="K965" s="797"/>
      <c r="L965" s="797"/>
      <c r="M965" s="797"/>
      <c r="N965" s="797"/>
      <c r="O965" s="797"/>
      <c r="P965" s="797"/>
      <c r="Q965" s="797"/>
      <c r="R965" s="797"/>
      <c r="S965" s="797"/>
      <c r="T965" s="797"/>
      <c r="U965" s="798"/>
      <c r="V965" s="466"/>
      <c r="W965" s="467"/>
      <c r="X965" s="468"/>
      <c r="Y965" s="466"/>
      <c r="Z965" s="467"/>
      <c r="AA965" s="467"/>
      <c r="AB965" s="468"/>
      <c r="AC965" s="828"/>
      <c r="AD965" s="829"/>
      <c r="AE965" s="829"/>
      <c r="AF965" s="830"/>
      <c r="AG965" s="466"/>
      <c r="AH965" s="467"/>
      <c r="AI965" s="467"/>
      <c r="AJ965" s="468"/>
      <c r="AK965" s="466"/>
      <c r="AL965" s="467"/>
      <c r="AM965" s="467"/>
      <c r="AN965" s="468"/>
      <c r="AO965" s="466"/>
      <c r="AP965" s="467"/>
      <c r="AQ965" s="467"/>
      <c r="AR965" s="823"/>
    </row>
    <row r="966" spans="3:44" ht="18" customHeight="1">
      <c r="C966" s="743"/>
      <c r="D966" s="744"/>
      <c r="E966" s="744"/>
      <c r="F966" s="744"/>
      <c r="G966" s="744"/>
      <c r="H966" s="744"/>
      <c r="I966" s="744"/>
      <c r="J966" s="744"/>
      <c r="K966" s="744"/>
      <c r="L966" s="744"/>
      <c r="M966" s="744"/>
      <c r="N966" s="744"/>
      <c r="O966" s="744"/>
      <c r="P966" s="744"/>
      <c r="Q966" s="744"/>
      <c r="R966" s="744"/>
      <c r="S966" s="744"/>
      <c r="T966" s="744"/>
      <c r="U966" s="744"/>
      <c r="V966" s="744"/>
      <c r="W966" s="744"/>
      <c r="X966" s="824"/>
      <c r="Y966" s="825" t="s">
        <v>74</v>
      </c>
      <c r="Z966" s="826"/>
      <c r="AA966" s="826"/>
      <c r="AB966" s="826"/>
      <c r="AC966" s="826"/>
      <c r="AD966" s="826"/>
      <c r="AE966" s="826"/>
      <c r="AF966" s="826"/>
      <c r="AG966" s="826"/>
      <c r="AH966" s="826"/>
      <c r="AI966" s="826"/>
      <c r="AJ966" s="826"/>
      <c r="AK966" s="826"/>
      <c r="AL966" s="826"/>
      <c r="AM966" s="826"/>
      <c r="AN966" s="827"/>
      <c r="AO966" s="477">
        <f>SUM(AO958:AR965)</f>
        <v>3.64</v>
      </c>
      <c r="AP966" s="746"/>
      <c r="AQ966" s="746"/>
      <c r="AR966" s="747"/>
    </row>
    <row r="968" spans="3:44" ht="18" customHeight="1">
      <c r="C968" s="794" t="s">
        <v>43</v>
      </c>
      <c r="D968" s="774"/>
      <c r="E968" s="775"/>
      <c r="F968" s="773" t="s">
        <v>75</v>
      </c>
      <c r="G968" s="774"/>
      <c r="H968" s="774"/>
      <c r="I968" s="774"/>
      <c r="J968" s="774"/>
      <c r="K968" s="774"/>
      <c r="L968" s="774"/>
      <c r="M968" s="774"/>
      <c r="N968" s="774"/>
      <c r="O968" s="774"/>
      <c r="P968" s="774"/>
      <c r="Q968" s="774"/>
      <c r="R968" s="774"/>
      <c r="S968" s="774"/>
      <c r="T968" s="774"/>
      <c r="U968" s="774"/>
      <c r="V968" s="774"/>
      <c r="W968" s="774"/>
      <c r="X968" s="774"/>
      <c r="Y968" s="774"/>
      <c r="Z968" s="774"/>
      <c r="AA968" s="774"/>
      <c r="AB968" s="775"/>
      <c r="AC968" s="773" t="s">
        <v>76</v>
      </c>
      <c r="AD968" s="774"/>
      <c r="AE968" s="774"/>
      <c r="AF968" s="775"/>
      <c r="AG968" s="773" t="s">
        <v>249</v>
      </c>
      <c r="AH968" s="774"/>
      <c r="AI968" s="774"/>
      <c r="AJ968" s="775"/>
      <c r="AK968" s="773" t="s">
        <v>77</v>
      </c>
      <c r="AL968" s="774"/>
      <c r="AM968" s="774"/>
      <c r="AN968" s="775"/>
      <c r="AO968" s="773" t="s">
        <v>71</v>
      </c>
      <c r="AP968" s="774"/>
      <c r="AQ968" s="774"/>
      <c r="AR968" s="779"/>
    </row>
    <row r="969" spans="3:44" ht="18" customHeight="1">
      <c r="C969" s="795"/>
      <c r="D969" s="777"/>
      <c r="E969" s="778"/>
      <c r="F969" s="776"/>
      <c r="G969" s="777"/>
      <c r="H969" s="777"/>
      <c r="I969" s="777"/>
      <c r="J969" s="777"/>
      <c r="K969" s="777"/>
      <c r="L969" s="777"/>
      <c r="M969" s="777"/>
      <c r="N969" s="777"/>
      <c r="O969" s="777"/>
      <c r="P969" s="777"/>
      <c r="Q969" s="777"/>
      <c r="R969" s="777"/>
      <c r="S969" s="777"/>
      <c r="T969" s="777"/>
      <c r="U969" s="777"/>
      <c r="V969" s="777"/>
      <c r="W969" s="777"/>
      <c r="X969" s="777"/>
      <c r="Y969" s="777"/>
      <c r="Z969" s="777"/>
      <c r="AA969" s="777"/>
      <c r="AB969" s="778"/>
      <c r="AC969" s="776"/>
      <c r="AD969" s="777"/>
      <c r="AE969" s="777"/>
      <c r="AF969" s="778"/>
      <c r="AG969" s="776"/>
      <c r="AH969" s="777"/>
      <c r="AI969" s="777"/>
      <c r="AJ969" s="778"/>
      <c r="AK969" s="776"/>
      <c r="AL969" s="777"/>
      <c r="AM969" s="777"/>
      <c r="AN969" s="778"/>
      <c r="AO969" s="776"/>
      <c r="AP969" s="777"/>
      <c r="AQ969" s="777"/>
      <c r="AR969" s="780"/>
    </row>
    <row r="970" spans="3:44" ht="18" customHeight="1">
      <c r="C970" s="781" t="s">
        <v>940</v>
      </c>
      <c r="D970" s="782"/>
      <c r="E970" s="783"/>
      <c r="F970" s="493" t="s">
        <v>105</v>
      </c>
      <c r="G970" s="493"/>
      <c r="H970" s="493"/>
      <c r="I970" s="493"/>
      <c r="J970" s="493"/>
      <c r="K970" s="493"/>
      <c r="L970" s="493"/>
      <c r="M970" s="493"/>
      <c r="N970" s="493"/>
      <c r="O970" s="493"/>
      <c r="P970" s="493"/>
      <c r="Q970" s="493"/>
      <c r="R970" s="493"/>
      <c r="S970" s="493"/>
      <c r="T970" s="493"/>
      <c r="U970" s="493"/>
      <c r="V970" s="493"/>
      <c r="W970" s="493"/>
      <c r="X970" s="493"/>
      <c r="Y970" s="493"/>
      <c r="Z970" s="493"/>
      <c r="AA970" s="493"/>
      <c r="AB970" s="493"/>
      <c r="AC970" s="770"/>
      <c r="AD970" s="771"/>
      <c r="AE970" s="771"/>
      <c r="AF970" s="790"/>
      <c r="AG970" s="770">
        <v>1.5</v>
      </c>
      <c r="AH970" s="771"/>
      <c r="AI970" s="771"/>
      <c r="AJ970" s="790"/>
      <c r="AK970" s="449">
        <f>VLOOKUP(C970,[4]MÃODEOBRA!A$1:D$65536,4,FALSE)</f>
        <v>22.98488</v>
      </c>
      <c r="AL970" s="449"/>
      <c r="AM970" s="449"/>
      <c r="AN970" s="449"/>
      <c r="AO970" s="491">
        <f>ROUND(AG970*AK970,2)</f>
        <v>34.479999999999997</v>
      </c>
      <c r="AP970" s="491"/>
      <c r="AQ970" s="491"/>
      <c r="AR970" s="492"/>
    </row>
    <row r="971" spans="3:44" ht="18" customHeight="1">
      <c r="C971" s="758"/>
      <c r="D971" s="759"/>
      <c r="E971" s="760"/>
      <c r="F971" s="493"/>
      <c r="G971" s="493"/>
      <c r="H971" s="493"/>
      <c r="I971" s="493"/>
      <c r="J971" s="493"/>
      <c r="K971" s="493"/>
      <c r="L971" s="493"/>
      <c r="M971" s="493"/>
      <c r="N971" s="493"/>
      <c r="O971" s="493"/>
      <c r="P971" s="493"/>
      <c r="Q971" s="493"/>
      <c r="R971" s="493"/>
      <c r="S971" s="493"/>
      <c r="T971" s="493"/>
      <c r="U971" s="493"/>
      <c r="V971" s="493"/>
      <c r="W971" s="493"/>
      <c r="X971" s="493"/>
      <c r="Y971" s="493"/>
      <c r="Z971" s="493"/>
      <c r="AA971" s="493"/>
      <c r="AB971" s="493"/>
      <c r="AC971" s="740"/>
      <c r="AD971" s="741"/>
      <c r="AE971" s="741"/>
      <c r="AF971" s="757"/>
      <c r="AG971" s="740"/>
      <c r="AH971" s="741"/>
      <c r="AI971" s="741"/>
      <c r="AJ971" s="757"/>
      <c r="AK971" s="449"/>
      <c r="AL971" s="449"/>
      <c r="AM971" s="449"/>
      <c r="AN971" s="449"/>
      <c r="AO971" s="491"/>
      <c r="AP971" s="491"/>
      <c r="AQ971" s="491"/>
      <c r="AR971" s="492"/>
    </row>
    <row r="972" spans="3:44" ht="18" customHeight="1">
      <c r="C972" s="758"/>
      <c r="D972" s="759"/>
      <c r="E972" s="760"/>
      <c r="F972" s="796"/>
      <c r="G972" s="797"/>
      <c r="H972" s="797"/>
      <c r="I972" s="797"/>
      <c r="J972" s="797"/>
      <c r="K972" s="797"/>
      <c r="L972" s="797"/>
      <c r="M972" s="797"/>
      <c r="N972" s="797"/>
      <c r="O972" s="797"/>
      <c r="P972" s="797"/>
      <c r="Q972" s="797"/>
      <c r="R972" s="797"/>
      <c r="S972" s="797"/>
      <c r="T972" s="797"/>
      <c r="U972" s="797"/>
      <c r="V972" s="797"/>
      <c r="W972" s="797"/>
      <c r="X972" s="797"/>
      <c r="Y972" s="797"/>
      <c r="Z972" s="797"/>
      <c r="AA972" s="797"/>
      <c r="AB972" s="798"/>
      <c r="AC972" s="740"/>
      <c r="AD972" s="741"/>
      <c r="AE972" s="741"/>
      <c r="AF972" s="757"/>
      <c r="AG972" s="740"/>
      <c r="AH972" s="741"/>
      <c r="AI972" s="741"/>
      <c r="AJ972" s="757"/>
      <c r="AK972" s="740"/>
      <c r="AL972" s="741"/>
      <c r="AM972" s="741"/>
      <c r="AN972" s="757"/>
      <c r="AO972" s="466"/>
      <c r="AP972" s="467"/>
      <c r="AQ972" s="467"/>
      <c r="AR972" s="823"/>
    </row>
    <row r="973" spans="3:44" ht="18" customHeight="1">
      <c r="C973" s="758"/>
      <c r="D973" s="759"/>
      <c r="E973" s="760"/>
      <c r="F973" s="796"/>
      <c r="G973" s="797"/>
      <c r="H973" s="797"/>
      <c r="I973" s="797"/>
      <c r="J973" s="797"/>
      <c r="K973" s="797"/>
      <c r="L973" s="797"/>
      <c r="M973" s="797"/>
      <c r="N973" s="797"/>
      <c r="O973" s="797"/>
      <c r="P973" s="797"/>
      <c r="Q973" s="797"/>
      <c r="R973" s="797"/>
      <c r="S973" s="797"/>
      <c r="T973" s="797"/>
      <c r="U973" s="797"/>
      <c r="V973" s="797"/>
      <c r="W973" s="797"/>
      <c r="X973" s="797"/>
      <c r="Y973" s="797"/>
      <c r="Z973" s="797"/>
      <c r="AA973" s="797"/>
      <c r="AB973" s="798"/>
      <c r="AC973" s="740"/>
      <c r="AD973" s="741"/>
      <c r="AE973" s="741"/>
      <c r="AF973" s="757"/>
      <c r="AG973" s="740"/>
      <c r="AH973" s="741"/>
      <c r="AI973" s="741"/>
      <c r="AJ973" s="757"/>
      <c r="AK973" s="740"/>
      <c r="AL973" s="741"/>
      <c r="AM973" s="741"/>
      <c r="AN973" s="757"/>
      <c r="AO973" s="466"/>
      <c r="AP973" s="467"/>
      <c r="AQ973" s="467"/>
      <c r="AR973" s="823"/>
    </row>
    <row r="974" spans="3:44" ht="18" customHeight="1">
      <c r="C974" s="758"/>
      <c r="D974" s="759"/>
      <c r="E974" s="760"/>
      <c r="F974" s="796"/>
      <c r="G974" s="797"/>
      <c r="H974" s="797"/>
      <c r="I974" s="797"/>
      <c r="J974" s="797"/>
      <c r="K974" s="797"/>
      <c r="L974" s="797"/>
      <c r="M974" s="797"/>
      <c r="N974" s="797"/>
      <c r="O974" s="797"/>
      <c r="P974" s="797"/>
      <c r="Q974" s="797"/>
      <c r="R974" s="797"/>
      <c r="S974" s="797"/>
      <c r="T974" s="797"/>
      <c r="U974" s="797"/>
      <c r="V974" s="797"/>
      <c r="W974" s="797"/>
      <c r="X974" s="797"/>
      <c r="Y974" s="797"/>
      <c r="Z974" s="797"/>
      <c r="AA974" s="797"/>
      <c r="AB974" s="798"/>
      <c r="AC974" s="740"/>
      <c r="AD974" s="741"/>
      <c r="AE974" s="741"/>
      <c r="AF974" s="757"/>
      <c r="AG974" s="740"/>
      <c r="AH974" s="741"/>
      <c r="AI974" s="741"/>
      <c r="AJ974" s="757"/>
      <c r="AK974" s="740"/>
      <c r="AL974" s="741"/>
      <c r="AM974" s="741"/>
      <c r="AN974" s="757"/>
      <c r="AO974" s="466"/>
      <c r="AP974" s="467"/>
      <c r="AQ974" s="467"/>
      <c r="AR974" s="823"/>
    </row>
    <row r="975" spans="3:44" ht="18" customHeight="1">
      <c r="C975" s="758"/>
      <c r="D975" s="759"/>
      <c r="E975" s="760"/>
      <c r="F975" s="796"/>
      <c r="G975" s="797"/>
      <c r="H975" s="797"/>
      <c r="I975" s="797"/>
      <c r="J975" s="797"/>
      <c r="K975" s="797"/>
      <c r="L975" s="797"/>
      <c r="M975" s="797"/>
      <c r="N975" s="797"/>
      <c r="O975" s="797"/>
      <c r="P975" s="797"/>
      <c r="Q975" s="797"/>
      <c r="R975" s="797"/>
      <c r="S975" s="797"/>
      <c r="T975" s="797"/>
      <c r="U975" s="797"/>
      <c r="V975" s="797"/>
      <c r="W975" s="797"/>
      <c r="X975" s="797"/>
      <c r="Y975" s="797"/>
      <c r="Z975" s="797"/>
      <c r="AA975" s="797"/>
      <c r="AB975" s="798"/>
      <c r="AC975" s="740"/>
      <c r="AD975" s="741"/>
      <c r="AE975" s="741"/>
      <c r="AF975" s="757"/>
      <c r="AG975" s="740"/>
      <c r="AH975" s="741"/>
      <c r="AI975" s="741"/>
      <c r="AJ975" s="757"/>
      <c r="AK975" s="740"/>
      <c r="AL975" s="741"/>
      <c r="AM975" s="741"/>
      <c r="AN975" s="757"/>
      <c r="AO975" s="466"/>
      <c r="AP975" s="467"/>
      <c r="AQ975" s="467"/>
      <c r="AR975" s="823"/>
    </row>
    <row r="976" spans="3:44" ht="18" customHeight="1">
      <c r="C976" s="758"/>
      <c r="D976" s="759"/>
      <c r="E976" s="760"/>
      <c r="F976" s="796"/>
      <c r="G976" s="797"/>
      <c r="H976" s="797"/>
      <c r="I976" s="797"/>
      <c r="J976" s="797"/>
      <c r="K976" s="797"/>
      <c r="L976" s="797"/>
      <c r="M976" s="797"/>
      <c r="N976" s="797"/>
      <c r="O976" s="797"/>
      <c r="P976" s="797"/>
      <c r="Q976" s="797"/>
      <c r="R976" s="797"/>
      <c r="S976" s="797"/>
      <c r="T976" s="797"/>
      <c r="U976" s="797"/>
      <c r="V976" s="797"/>
      <c r="W976" s="797"/>
      <c r="X976" s="797"/>
      <c r="Y976" s="797"/>
      <c r="Z976" s="797"/>
      <c r="AA976" s="797"/>
      <c r="AB976" s="798"/>
      <c r="AC976" s="740"/>
      <c r="AD976" s="741"/>
      <c r="AE976" s="741"/>
      <c r="AF976" s="757"/>
      <c r="AG976" s="740"/>
      <c r="AH976" s="741"/>
      <c r="AI976" s="741"/>
      <c r="AJ976" s="757"/>
      <c r="AK976" s="740"/>
      <c r="AL976" s="741"/>
      <c r="AM976" s="741"/>
      <c r="AN976" s="757"/>
      <c r="AO976" s="466"/>
      <c r="AP976" s="467"/>
      <c r="AQ976" s="467"/>
      <c r="AR976" s="823"/>
    </row>
    <row r="977" spans="3:44" ht="18" customHeight="1">
      <c r="C977" s="758"/>
      <c r="D977" s="759"/>
      <c r="E977" s="760"/>
      <c r="F977" s="796"/>
      <c r="G977" s="797"/>
      <c r="H977" s="797"/>
      <c r="I977" s="797"/>
      <c r="J977" s="797"/>
      <c r="K977" s="797"/>
      <c r="L977" s="797"/>
      <c r="M977" s="797"/>
      <c r="N977" s="797"/>
      <c r="O977" s="797"/>
      <c r="P977" s="797"/>
      <c r="Q977" s="797"/>
      <c r="R977" s="797"/>
      <c r="S977" s="797"/>
      <c r="T977" s="797"/>
      <c r="U977" s="797"/>
      <c r="V977" s="797"/>
      <c r="W977" s="797"/>
      <c r="X977" s="797"/>
      <c r="Y977" s="797"/>
      <c r="Z977" s="797"/>
      <c r="AA977" s="797"/>
      <c r="AB977" s="798"/>
      <c r="AC977" s="740"/>
      <c r="AD977" s="741"/>
      <c r="AE977" s="741"/>
      <c r="AF977" s="757"/>
      <c r="AG977" s="740"/>
      <c r="AH977" s="741"/>
      <c r="AI977" s="741"/>
      <c r="AJ977" s="757"/>
      <c r="AK977" s="740"/>
      <c r="AL977" s="741"/>
      <c r="AM977" s="741"/>
      <c r="AN977" s="757"/>
      <c r="AO977" s="466"/>
      <c r="AP977" s="467"/>
      <c r="AQ977" s="467"/>
      <c r="AR977" s="823"/>
    </row>
    <row r="978" spans="3:44" ht="18" customHeight="1">
      <c r="C978" s="814"/>
      <c r="D978" s="815"/>
      <c r="E978" s="815"/>
      <c r="F978" s="815"/>
      <c r="G978" s="815"/>
      <c r="H978" s="815"/>
      <c r="I978" s="815"/>
      <c r="J978" s="815"/>
      <c r="K978" s="815"/>
      <c r="L978" s="815"/>
      <c r="M978" s="815"/>
      <c r="N978" s="815"/>
      <c r="O978" s="815"/>
      <c r="P978" s="815"/>
      <c r="Q978" s="815"/>
      <c r="R978" s="815"/>
      <c r="S978" s="815"/>
      <c r="T978" s="815"/>
      <c r="U978" s="815"/>
      <c r="V978" s="815"/>
      <c r="W978" s="815"/>
      <c r="X978" s="815"/>
      <c r="Y978" s="816" t="s">
        <v>78</v>
      </c>
      <c r="Z978" s="816"/>
      <c r="AA978" s="816"/>
      <c r="AB978" s="816"/>
      <c r="AC978" s="816"/>
      <c r="AD978" s="816"/>
      <c r="AE978" s="816"/>
      <c r="AF978" s="483"/>
      <c r="AG978" s="817" t="s">
        <v>413</v>
      </c>
      <c r="AH978" s="818"/>
      <c r="AI978" s="818"/>
      <c r="AJ978" s="819"/>
      <c r="AK978" s="466">
        <f>SUM(AO970:AR977)</f>
        <v>34.479999999999997</v>
      </c>
      <c r="AL978" s="467"/>
      <c r="AM978" s="467"/>
      <c r="AN978" s="468"/>
      <c r="AO978" s="820">
        <f>ROUND(AG978*AK978,2)</f>
        <v>5.35</v>
      </c>
      <c r="AP978" s="821"/>
      <c r="AQ978" s="821"/>
      <c r="AR978" s="822"/>
    </row>
    <row r="979" spans="3:44" ht="18" customHeight="1">
      <c r="C979" s="743"/>
      <c r="D979" s="744"/>
      <c r="E979" s="744"/>
      <c r="F979" s="744"/>
      <c r="G979" s="744"/>
      <c r="H979" s="744"/>
      <c r="I979" s="744"/>
      <c r="J979" s="744"/>
      <c r="K979" s="744"/>
      <c r="L979" s="744"/>
      <c r="M979" s="744"/>
      <c r="N979" s="744"/>
      <c r="O979" s="744"/>
      <c r="P979" s="744"/>
      <c r="Q979" s="744"/>
      <c r="R979" s="744"/>
      <c r="S979" s="744"/>
      <c r="T979" s="744"/>
      <c r="U979" s="744"/>
      <c r="V979" s="744"/>
      <c r="W979" s="744"/>
      <c r="X979" s="744"/>
      <c r="Y979" s="745" t="s">
        <v>79</v>
      </c>
      <c r="Z979" s="745"/>
      <c r="AA979" s="745"/>
      <c r="AB979" s="745"/>
      <c r="AC979" s="745"/>
      <c r="AD979" s="745"/>
      <c r="AE979" s="745"/>
      <c r="AF979" s="745"/>
      <c r="AG979" s="745"/>
      <c r="AH979" s="745"/>
      <c r="AI979" s="745"/>
      <c r="AJ979" s="745"/>
      <c r="AK979" s="745"/>
      <c r="AL979" s="745"/>
      <c r="AM979" s="745"/>
      <c r="AN979" s="430"/>
      <c r="AO979" s="477">
        <f>SUM(AO970:AR978)</f>
        <v>39.83</v>
      </c>
      <c r="AP979" s="746"/>
      <c r="AQ979" s="746"/>
      <c r="AR979" s="747"/>
    </row>
    <row r="981" spans="3:44" ht="18" customHeight="1">
      <c r="C981" s="802"/>
      <c r="D981" s="803"/>
      <c r="E981" s="803"/>
      <c r="F981" s="803"/>
      <c r="G981" s="803"/>
      <c r="H981" s="803"/>
      <c r="I981" s="803"/>
      <c r="J981" s="803"/>
      <c r="K981" s="803"/>
      <c r="L981" s="803"/>
      <c r="M981" s="803"/>
      <c r="N981" s="803"/>
      <c r="O981" s="803"/>
      <c r="P981" s="803"/>
      <c r="Q981" s="803"/>
      <c r="R981" s="803"/>
      <c r="S981" s="803"/>
      <c r="T981" s="803"/>
      <c r="U981" s="803"/>
      <c r="V981" s="803"/>
      <c r="W981" s="803"/>
      <c r="X981" s="803"/>
      <c r="Y981" s="804" t="s">
        <v>80</v>
      </c>
      <c r="Z981" s="805"/>
      <c r="AA981" s="805"/>
      <c r="AB981" s="805"/>
      <c r="AC981" s="805"/>
      <c r="AD981" s="805"/>
      <c r="AE981" s="805"/>
      <c r="AF981" s="805"/>
      <c r="AG981" s="805"/>
      <c r="AH981" s="805"/>
      <c r="AI981" s="805"/>
      <c r="AJ981" s="805"/>
      <c r="AK981" s="805"/>
      <c r="AL981" s="805"/>
      <c r="AM981" s="805"/>
      <c r="AN981" s="806"/>
      <c r="AO981" s="807">
        <f>AO966+AO979</f>
        <v>43.47</v>
      </c>
      <c r="AP981" s="808"/>
      <c r="AQ981" s="808"/>
      <c r="AR981" s="809"/>
    </row>
    <row r="982" spans="3:44" ht="18" customHeight="1">
      <c r="C982" s="810" t="s">
        <v>81</v>
      </c>
      <c r="D982" s="745"/>
      <c r="E982" s="745"/>
      <c r="F982" s="745"/>
      <c r="G982" s="745"/>
      <c r="H982" s="745"/>
      <c r="I982" s="745"/>
      <c r="J982" s="745"/>
      <c r="K982" s="745"/>
      <c r="L982" s="745"/>
      <c r="M982" s="745"/>
      <c r="N982" s="745"/>
      <c r="O982" s="745"/>
      <c r="P982" s="430"/>
      <c r="Q982" s="477">
        <v>1</v>
      </c>
      <c r="R982" s="746"/>
      <c r="S982" s="746"/>
      <c r="T982" s="746"/>
      <c r="U982" s="746"/>
      <c r="V982" s="745" t="s">
        <v>194</v>
      </c>
      <c r="W982" s="745"/>
      <c r="X982" s="430"/>
      <c r="Y982" s="804" t="s">
        <v>82</v>
      </c>
      <c r="Z982" s="805"/>
      <c r="AA982" s="805"/>
      <c r="AB982" s="805"/>
      <c r="AC982" s="805"/>
      <c r="AD982" s="805"/>
      <c r="AE982" s="805"/>
      <c r="AF982" s="805"/>
      <c r="AG982" s="805"/>
      <c r="AH982" s="805"/>
      <c r="AI982" s="805"/>
      <c r="AJ982" s="805"/>
      <c r="AK982" s="805"/>
      <c r="AL982" s="805"/>
      <c r="AM982" s="805"/>
      <c r="AN982" s="806"/>
      <c r="AO982" s="811">
        <f>ROUND(AO981/Q982,2)</f>
        <v>43.47</v>
      </c>
      <c r="AP982" s="812"/>
      <c r="AQ982" s="812"/>
      <c r="AR982" s="813"/>
    </row>
    <row r="984" spans="3:44" ht="18" customHeight="1">
      <c r="C984" s="794" t="s">
        <v>43</v>
      </c>
      <c r="D984" s="774"/>
      <c r="E984" s="775"/>
      <c r="F984" s="773" t="s">
        <v>83</v>
      </c>
      <c r="G984" s="774"/>
      <c r="H984" s="774"/>
      <c r="I984" s="774"/>
      <c r="J984" s="774"/>
      <c r="K984" s="774"/>
      <c r="L984" s="774"/>
      <c r="M984" s="774"/>
      <c r="N984" s="774"/>
      <c r="O984" s="774"/>
      <c r="P984" s="774"/>
      <c r="Q984" s="774"/>
      <c r="R984" s="774"/>
      <c r="S984" s="774"/>
      <c r="T984" s="774"/>
      <c r="U984" s="774"/>
      <c r="V984" s="774"/>
      <c r="W984" s="774"/>
      <c r="X984" s="774"/>
      <c r="Y984" s="774"/>
      <c r="Z984" s="774"/>
      <c r="AA984" s="774"/>
      <c r="AB984" s="775"/>
      <c r="AC984" s="773" t="s">
        <v>84</v>
      </c>
      <c r="AD984" s="774"/>
      <c r="AE984" s="774"/>
      <c r="AF984" s="775"/>
      <c r="AG984" s="773" t="s">
        <v>85</v>
      </c>
      <c r="AH984" s="774"/>
      <c r="AI984" s="774"/>
      <c r="AJ984" s="775"/>
      <c r="AK984" s="773" t="s">
        <v>86</v>
      </c>
      <c r="AL984" s="774"/>
      <c r="AM984" s="774"/>
      <c r="AN984" s="775"/>
      <c r="AO984" s="773" t="s">
        <v>87</v>
      </c>
      <c r="AP984" s="774"/>
      <c r="AQ984" s="774"/>
      <c r="AR984" s="779"/>
    </row>
    <row r="985" spans="3:44" ht="18" customHeight="1">
      <c r="C985" s="795"/>
      <c r="D985" s="777"/>
      <c r="E985" s="778"/>
      <c r="F985" s="776"/>
      <c r="G985" s="777"/>
      <c r="H985" s="777"/>
      <c r="I985" s="777"/>
      <c r="J985" s="777"/>
      <c r="K985" s="777"/>
      <c r="L985" s="777"/>
      <c r="M985" s="777"/>
      <c r="N985" s="777"/>
      <c r="O985" s="777"/>
      <c r="P985" s="777"/>
      <c r="Q985" s="777"/>
      <c r="R985" s="777"/>
      <c r="S985" s="777"/>
      <c r="T985" s="777"/>
      <c r="U985" s="777"/>
      <c r="V985" s="777"/>
      <c r="W985" s="777"/>
      <c r="X985" s="777"/>
      <c r="Y985" s="777"/>
      <c r="Z985" s="777"/>
      <c r="AA985" s="777"/>
      <c r="AB985" s="778"/>
      <c r="AC985" s="776"/>
      <c r="AD985" s="777"/>
      <c r="AE985" s="777"/>
      <c r="AF985" s="778"/>
      <c r="AG985" s="776"/>
      <c r="AH985" s="777"/>
      <c r="AI985" s="777"/>
      <c r="AJ985" s="778"/>
      <c r="AK985" s="776"/>
      <c r="AL985" s="777"/>
      <c r="AM985" s="777"/>
      <c r="AN985" s="778"/>
      <c r="AO985" s="776"/>
      <c r="AP985" s="777"/>
      <c r="AQ985" s="777"/>
      <c r="AR985" s="780"/>
    </row>
    <row r="986" spans="3:44" ht="18" customHeight="1">
      <c r="C986" s="758" t="s">
        <v>1377</v>
      </c>
      <c r="D986" s="759"/>
      <c r="E986" s="760"/>
      <c r="F986" s="796" t="s">
        <v>417</v>
      </c>
      <c r="G986" s="797"/>
      <c r="H986" s="797"/>
      <c r="I986" s="797"/>
      <c r="J986" s="797"/>
      <c r="K986" s="797"/>
      <c r="L986" s="797"/>
      <c r="M986" s="797"/>
      <c r="N986" s="797"/>
      <c r="O986" s="797"/>
      <c r="P986" s="797"/>
      <c r="Q986" s="797"/>
      <c r="R986" s="797"/>
      <c r="S986" s="797"/>
      <c r="T986" s="797"/>
      <c r="U986" s="797"/>
      <c r="V986" s="797"/>
      <c r="W986" s="797"/>
      <c r="X986" s="797"/>
      <c r="Y986" s="797"/>
      <c r="Z986" s="797"/>
      <c r="AA986" s="797"/>
      <c r="AB986" s="798"/>
      <c r="AC986" s="799" t="s">
        <v>245</v>
      </c>
      <c r="AD986" s="800"/>
      <c r="AE986" s="800"/>
      <c r="AF986" s="801"/>
      <c r="AG986" s="466">
        <f>TRUNC(373.21/1.2031,2)</f>
        <v>310.2</v>
      </c>
      <c r="AH986" s="467"/>
      <c r="AI986" s="467"/>
      <c r="AJ986" s="468"/>
      <c r="AK986" s="737">
        <v>0.5</v>
      </c>
      <c r="AL986" s="738"/>
      <c r="AM986" s="738"/>
      <c r="AN986" s="739"/>
      <c r="AO986" s="740">
        <f>ROUND(AG986*AK986,2)</f>
        <v>155.1</v>
      </c>
      <c r="AP986" s="741"/>
      <c r="AQ986" s="741"/>
      <c r="AR986" s="742"/>
    </row>
    <row r="987" spans="3:44" ht="18" customHeight="1">
      <c r="C987" s="758" t="s">
        <v>1376</v>
      </c>
      <c r="D987" s="759"/>
      <c r="E987" s="760"/>
      <c r="F987" s="796" t="s">
        <v>370</v>
      </c>
      <c r="G987" s="797"/>
      <c r="H987" s="797"/>
      <c r="I987" s="797"/>
      <c r="J987" s="797"/>
      <c r="K987" s="797"/>
      <c r="L987" s="797"/>
      <c r="M987" s="797"/>
      <c r="N987" s="797"/>
      <c r="O987" s="797"/>
      <c r="P987" s="797"/>
      <c r="Q987" s="797"/>
      <c r="R987" s="797"/>
      <c r="S987" s="797"/>
      <c r="T987" s="797"/>
      <c r="U987" s="797"/>
      <c r="V987" s="797"/>
      <c r="W987" s="797"/>
      <c r="X987" s="797"/>
      <c r="Y987" s="797"/>
      <c r="Z987" s="797"/>
      <c r="AA987" s="797"/>
      <c r="AB987" s="798"/>
      <c r="AC987" s="799" t="s">
        <v>309</v>
      </c>
      <c r="AD987" s="800"/>
      <c r="AE987" s="800"/>
      <c r="AF987" s="801"/>
      <c r="AG987" s="466">
        <f>TRUNC(43.8/1.2031,2)</f>
        <v>36.4</v>
      </c>
      <c r="AH987" s="467"/>
      <c r="AI987" s="467"/>
      <c r="AJ987" s="468"/>
      <c r="AK987" s="737">
        <v>3</v>
      </c>
      <c r="AL987" s="738"/>
      <c r="AM987" s="738"/>
      <c r="AN987" s="739"/>
      <c r="AO987" s="740">
        <f>ROUND(AG987*AK987,2)</f>
        <v>109.2</v>
      </c>
      <c r="AP987" s="741"/>
      <c r="AQ987" s="741"/>
      <c r="AR987" s="742"/>
    </row>
    <row r="988" spans="3:44" ht="18" customHeight="1">
      <c r="C988" s="758"/>
      <c r="D988" s="759"/>
      <c r="E988" s="760"/>
      <c r="F988" s="796"/>
      <c r="G988" s="797"/>
      <c r="H988" s="797"/>
      <c r="I988" s="797"/>
      <c r="J988" s="797"/>
      <c r="K988" s="797"/>
      <c r="L988" s="797"/>
      <c r="M988" s="797"/>
      <c r="N988" s="797"/>
      <c r="O988" s="797"/>
      <c r="P988" s="797"/>
      <c r="Q988" s="797"/>
      <c r="R988" s="797"/>
      <c r="S988" s="797"/>
      <c r="T988" s="797"/>
      <c r="U988" s="797"/>
      <c r="V988" s="797"/>
      <c r="W988" s="797"/>
      <c r="X988" s="797"/>
      <c r="Y988" s="797"/>
      <c r="Z988" s="797"/>
      <c r="AA988" s="797"/>
      <c r="AB988" s="798"/>
      <c r="AC988" s="799"/>
      <c r="AD988" s="800"/>
      <c r="AE988" s="800"/>
      <c r="AF988" s="801"/>
      <c r="AG988" s="466"/>
      <c r="AH988" s="467"/>
      <c r="AI988" s="467"/>
      <c r="AJ988" s="468"/>
      <c r="AK988" s="737"/>
      <c r="AL988" s="738"/>
      <c r="AM988" s="738"/>
      <c r="AN988" s="739"/>
      <c r="AO988" s="740"/>
      <c r="AP988" s="741"/>
      <c r="AQ988" s="741"/>
      <c r="AR988" s="742"/>
    </row>
    <row r="989" spans="3:44" ht="18" customHeight="1">
      <c r="C989" s="758"/>
      <c r="D989" s="759"/>
      <c r="E989" s="760"/>
      <c r="F989" s="796"/>
      <c r="G989" s="797"/>
      <c r="H989" s="797"/>
      <c r="I989" s="797"/>
      <c r="J989" s="797"/>
      <c r="K989" s="797"/>
      <c r="L989" s="797"/>
      <c r="M989" s="797"/>
      <c r="N989" s="797"/>
      <c r="O989" s="797"/>
      <c r="P989" s="797"/>
      <c r="Q989" s="797"/>
      <c r="R989" s="797"/>
      <c r="S989" s="797"/>
      <c r="T989" s="797"/>
      <c r="U989" s="797"/>
      <c r="V989" s="797"/>
      <c r="W989" s="797"/>
      <c r="X989" s="797"/>
      <c r="Y989" s="797"/>
      <c r="Z989" s="797"/>
      <c r="AA989" s="797"/>
      <c r="AB989" s="798"/>
      <c r="AC989" s="799"/>
      <c r="AD989" s="800"/>
      <c r="AE989" s="800"/>
      <c r="AF989" s="801"/>
      <c r="AG989" s="466"/>
      <c r="AH989" s="467"/>
      <c r="AI989" s="467"/>
      <c r="AJ989" s="468"/>
      <c r="AK989" s="737"/>
      <c r="AL989" s="738"/>
      <c r="AM989" s="738"/>
      <c r="AN989" s="739"/>
      <c r="AO989" s="740"/>
      <c r="AP989" s="741"/>
      <c r="AQ989" s="741"/>
      <c r="AR989" s="742"/>
    </row>
    <row r="990" spans="3:44" ht="18" customHeight="1">
      <c r="C990" s="758"/>
      <c r="D990" s="759"/>
      <c r="E990" s="760"/>
      <c r="F990" s="796"/>
      <c r="G990" s="797"/>
      <c r="H990" s="797"/>
      <c r="I990" s="797"/>
      <c r="J990" s="797"/>
      <c r="K990" s="797"/>
      <c r="L990" s="797"/>
      <c r="M990" s="797"/>
      <c r="N990" s="797"/>
      <c r="O990" s="797"/>
      <c r="P990" s="797"/>
      <c r="Q990" s="797"/>
      <c r="R990" s="797"/>
      <c r="S990" s="797"/>
      <c r="T990" s="797"/>
      <c r="U990" s="797"/>
      <c r="V990" s="797"/>
      <c r="W990" s="797"/>
      <c r="X990" s="797"/>
      <c r="Y990" s="797"/>
      <c r="Z990" s="797"/>
      <c r="AA990" s="797"/>
      <c r="AB990" s="798"/>
      <c r="AC990" s="799"/>
      <c r="AD990" s="800"/>
      <c r="AE990" s="800"/>
      <c r="AF990" s="801"/>
      <c r="AG990" s="466"/>
      <c r="AH990" s="467"/>
      <c r="AI990" s="467"/>
      <c r="AJ990" s="468"/>
      <c r="AK990" s="737"/>
      <c r="AL990" s="738"/>
      <c r="AM990" s="738"/>
      <c r="AN990" s="739"/>
      <c r="AO990" s="740"/>
      <c r="AP990" s="741"/>
      <c r="AQ990" s="741"/>
      <c r="AR990" s="742"/>
    </row>
    <row r="991" spans="3:44" ht="18" customHeight="1">
      <c r="C991" s="758"/>
      <c r="D991" s="759"/>
      <c r="E991" s="760"/>
      <c r="F991" s="796"/>
      <c r="G991" s="797"/>
      <c r="H991" s="797"/>
      <c r="I991" s="797"/>
      <c r="J991" s="797"/>
      <c r="K991" s="797"/>
      <c r="L991" s="797"/>
      <c r="M991" s="797"/>
      <c r="N991" s="797"/>
      <c r="O991" s="797"/>
      <c r="P991" s="797"/>
      <c r="Q991" s="797"/>
      <c r="R991" s="797"/>
      <c r="S991" s="797"/>
      <c r="T991" s="797"/>
      <c r="U991" s="797"/>
      <c r="V991" s="797"/>
      <c r="W991" s="797"/>
      <c r="X991" s="797"/>
      <c r="Y991" s="797"/>
      <c r="Z991" s="797"/>
      <c r="AA991" s="797"/>
      <c r="AB991" s="798"/>
      <c r="AC991" s="799"/>
      <c r="AD991" s="800"/>
      <c r="AE991" s="800"/>
      <c r="AF991" s="801"/>
      <c r="AG991" s="466"/>
      <c r="AH991" s="467"/>
      <c r="AI991" s="467"/>
      <c r="AJ991" s="468"/>
      <c r="AK991" s="737"/>
      <c r="AL991" s="738"/>
      <c r="AM991" s="738"/>
      <c r="AN991" s="739"/>
      <c r="AO991" s="740"/>
      <c r="AP991" s="741"/>
      <c r="AQ991" s="741"/>
      <c r="AR991" s="742"/>
    </row>
    <row r="992" spans="3:44" ht="18" customHeight="1">
      <c r="C992" s="758"/>
      <c r="D992" s="759"/>
      <c r="E992" s="760"/>
      <c r="F992" s="796"/>
      <c r="G992" s="797"/>
      <c r="H992" s="797"/>
      <c r="I992" s="797"/>
      <c r="J992" s="797"/>
      <c r="K992" s="797"/>
      <c r="L992" s="797"/>
      <c r="M992" s="797"/>
      <c r="N992" s="797"/>
      <c r="O992" s="797"/>
      <c r="P992" s="797"/>
      <c r="Q992" s="797"/>
      <c r="R992" s="797"/>
      <c r="S992" s="797"/>
      <c r="T992" s="797"/>
      <c r="U992" s="797"/>
      <c r="V992" s="797"/>
      <c r="W992" s="797"/>
      <c r="X992" s="797"/>
      <c r="Y992" s="797"/>
      <c r="Z992" s="797"/>
      <c r="AA992" s="797"/>
      <c r="AB992" s="798"/>
      <c r="AC992" s="799"/>
      <c r="AD992" s="800"/>
      <c r="AE992" s="800"/>
      <c r="AF992" s="801"/>
      <c r="AG992" s="466"/>
      <c r="AH992" s="467"/>
      <c r="AI992" s="467"/>
      <c r="AJ992" s="468"/>
      <c r="AK992" s="737"/>
      <c r="AL992" s="738"/>
      <c r="AM992" s="738"/>
      <c r="AN992" s="739"/>
      <c r="AO992" s="740"/>
      <c r="AP992" s="741"/>
      <c r="AQ992" s="741"/>
      <c r="AR992" s="742"/>
    </row>
    <row r="993" spans="3:44" ht="18" customHeight="1">
      <c r="C993" s="758"/>
      <c r="D993" s="759"/>
      <c r="E993" s="760"/>
      <c r="F993" s="796"/>
      <c r="G993" s="797"/>
      <c r="H993" s="797"/>
      <c r="I993" s="797"/>
      <c r="J993" s="797"/>
      <c r="K993" s="797"/>
      <c r="L993" s="797"/>
      <c r="M993" s="797"/>
      <c r="N993" s="797"/>
      <c r="O993" s="797"/>
      <c r="P993" s="797"/>
      <c r="Q993" s="797"/>
      <c r="R993" s="797"/>
      <c r="S993" s="797"/>
      <c r="T993" s="797"/>
      <c r="U993" s="797"/>
      <c r="V993" s="797"/>
      <c r="W993" s="797"/>
      <c r="X993" s="797"/>
      <c r="Y993" s="797"/>
      <c r="Z993" s="797"/>
      <c r="AA993" s="797"/>
      <c r="AB993" s="798"/>
      <c r="AC993" s="799"/>
      <c r="AD993" s="800"/>
      <c r="AE993" s="800"/>
      <c r="AF993" s="801"/>
      <c r="AG993" s="466"/>
      <c r="AH993" s="467"/>
      <c r="AI993" s="467"/>
      <c r="AJ993" s="468"/>
      <c r="AK993" s="737"/>
      <c r="AL993" s="738"/>
      <c r="AM993" s="738"/>
      <c r="AN993" s="739"/>
      <c r="AO993" s="740"/>
      <c r="AP993" s="741"/>
      <c r="AQ993" s="741"/>
      <c r="AR993" s="742"/>
    </row>
    <row r="994" spans="3:44" ht="18" customHeight="1">
      <c r="C994" s="743"/>
      <c r="D994" s="744"/>
      <c r="E994" s="744"/>
      <c r="F994" s="744"/>
      <c r="G994" s="744"/>
      <c r="H994" s="744"/>
      <c r="I994" s="744"/>
      <c r="J994" s="744"/>
      <c r="K994" s="744"/>
      <c r="L994" s="744"/>
      <c r="M994" s="744"/>
      <c r="N994" s="744"/>
      <c r="O994" s="744"/>
      <c r="P994" s="744"/>
      <c r="Q994" s="744"/>
      <c r="R994" s="744"/>
      <c r="S994" s="744"/>
      <c r="T994" s="744"/>
      <c r="U994" s="744"/>
      <c r="V994" s="744"/>
      <c r="W994" s="744"/>
      <c r="X994" s="744"/>
      <c r="Y994" s="745" t="s">
        <v>88</v>
      </c>
      <c r="Z994" s="745"/>
      <c r="AA994" s="745"/>
      <c r="AB994" s="745"/>
      <c r="AC994" s="745"/>
      <c r="AD994" s="745"/>
      <c r="AE994" s="745"/>
      <c r="AF994" s="745"/>
      <c r="AG994" s="745"/>
      <c r="AH994" s="745"/>
      <c r="AI994" s="745"/>
      <c r="AJ994" s="745"/>
      <c r="AK994" s="745"/>
      <c r="AL994" s="745"/>
      <c r="AM994" s="745"/>
      <c r="AN994" s="430"/>
      <c r="AO994" s="477">
        <f>SUM(AO986:AR993)</f>
        <v>264.3</v>
      </c>
      <c r="AP994" s="746"/>
      <c r="AQ994" s="746"/>
      <c r="AR994" s="747"/>
    </row>
    <row r="996" spans="3:44" ht="18" customHeight="1">
      <c r="C996" s="794" t="s">
        <v>43</v>
      </c>
      <c r="D996" s="774"/>
      <c r="E996" s="775"/>
      <c r="F996" s="773" t="s">
        <v>89</v>
      </c>
      <c r="G996" s="774"/>
      <c r="H996" s="774"/>
      <c r="I996" s="774"/>
      <c r="J996" s="774"/>
      <c r="K996" s="774"/>
      <c r="L996" s="774"/>
      <c r="M996" s="774"/>
      <c r="N996" s="774"/>
      <c r="O996" s="774"/>
      <c r="P996" s="774"/>
      <c r="Q996" s="774"/>
      <c r="R996" s="775"/>
      <c r="S996" s="773" t="s">
        <v>90</v>
      </c>
      <c r="T996" s="774"/>
      <c r="U996" s="775"/>
      <c r="V996" s="773" t="s">
        <v>91</v>
      </c>
      <c r="W996" s="774"/>
      <c r="X996" s="775"/>
      <c r="Y996" s="773" t="s">
        <v>92</v>
      </c>
      <c r="Z996" s="774"/>
      <c r="AA996" s="774"/>
      <c r="AB996" s="774"/>
      <c r="AC996" s="774"/>
      <c r="AD996" s="775"/>
      <c r="AE996" s="773" t="s">
        <v>93</v>
      </c>
      <c r="AF996" s="774"/>
      <c r="AG996" s="775"/>
      <c r="AH996" s="773" t="s">
        <v>94</v>
      </c>
      <c r="AI996" s="774"/>
      <c r="AJ996" s="775"/>
      <c r="AK996" s="773" t="s">
        <v>86</v>
      </c>
      <c r="AL996" s="774"/>
      <c r="AM996" s="774"/>
      <c r="AN996" s="775"/>
      <c r="AO996" s="773" t="s">
        <v>87</v>
      </c>
      <c r="AP996" s="774"/>
      <c r="AQ996" s="774"/>
      <c r="AR996" s="779"/>
    </row>
    <row r="997" spans="3:44" ht="18" customHeight="1">
      <c r="C997" s="795"/>
      <c r="D997" s="777"/>
      <c r="E997" s="778"/>
      <c r="F997" s="776"/>
      <c r="G997" s="777"/>
      <c r="H997" s="777"/>
      <c r="I997" s="777"/>
      <c r="J997" s="777"/>
      <c r="K997" s="777"/>
      <c r="L997" s="777"/>
      <c r="M997" s="777"/>
      <c r="N997" s="777"/>
      <c r="O997" s="777"/>
      <c r="P997" s="777"/>
      <c r="Q997" s="777"/>
      <c r="R997" s="778"/>
      <c r="S997" s="776"/>
      <c r="T997" s="777"/>
      <c r="U997" s="778"/>
      <c r="V997" s="776"/>
      <c r="W997" s="777"/>
      <c r="X997" s="778"/>
      <c r="Y997" s="776"/>
      <c r="Z997" s="777"/>
      <c r="AA997" s="777"/>
      <c r="AB997" s="777"/>
      <c r="AC997" s="777"/>
      <c r="AD997" s="778"/>
      <c r="AE997" s="776"/>
      <c r="AF997" s="777"/>
      <c r="AG997" s="778"/>
      <c r="AH997" s="776"/>
      <c r="AI997" s="777"/>
      <c r="AJ997" s="778"/>
      <c r="AK997" s="776"/>
      <c r="AL997" s="777"/>
      <c r="AM997" s="777"/>
      <c r="AN997" s="778"/>
      <c r="AO997" s="776"/>
      <c r="AP997" s="777"/>
      <c r="AQ997" s="777"/>
      <c r="AR997" s="780"/>
    </row>
    <row r="998" spans="3:44" ht="18" customHeight="1">
      <c r="C998" s="781"/>
      <c r="D998" s="782"/>
      <c r="E998" s="783"/>
      <c r="F998" s="457"/>
      <c r="G998" s="457"/>
      <c r="H998" s="457"/>
      <c r="I998" s="457"/>
      <c r="J998" s="457"/>
      <c r="K998" s="457"/>
      <c r="L998" s="457"/>
      <c r="M998" s="457"/>
      <c r="N998" s="457"/>
      <c r="O998" s="457"/>
      <c r="P998" s="457"/>
      <c r="Q998" s="457"/>
      <c r="R998" s="457"/>
      <c r="S998" s="784"/>
      <c r="T998" s="785"/>
      <c r="U998" s="786"/>
      <c r="V998" s="784"/>
      <c r="W998" s="785"/>
      <c r="X998" s="786"/>
      <c r="Y998" s="787"/>
      <c r="Z998" s="788"/>
      <c r="AA998" s="788"/>
      <c r="AB998" s="788"/>
      <c r="AC998" s="788"/>
      <c r="AD998" s="789"/>
      <c r="AE998" s="449"/>
      <c r="AF998" s="449"/>
      <c r="AG998" s="449"/>
      <c r="AH998" s="770"/>
      <c r="AI998" s="771"/>
      <c r="AJ998" s="790"/>
      <c r="AK998" s="791"/>
      <c r="AL998" s="792"/>
      <c r="AM998" s="792"/>
      <c r="AN998" s="793"/>
      <c r="AO998" s="770"/>
      <c r="AP998" s="771"/>
      <c r="AQ998" s="771"/>
      <c r="AR998" s="772"/>
    </row>
    <row r="999" spans="3:44" ht="18" customHeight="1">
      <c r="C999" s="758"/>
      <c r="D999" s="759"/>
      <c r="E999" s="760"/>
      <c r="F999" s="761"/>
      <c r="G999" s="762"/>
      <c r="H999" s="762"/>
      <c r="I999" s="762"/>
      <c r="J999" s="762"/>
      <c r="K999" s="762"/>
      <c r="L999" s="762"/>
      <c r="M999" s="762"/>
      <c r="N999" s="762"/>
      <c r="O999" s="762"/>
      <c r="P999" s="762"/>
      <c r="Q999" s="762"/>
      <c r="R999" s="763"/>
      <c r="S999" s="764"/>
      <c r="T999" s="765"/>
      <c r="U999" s="766"/>
      <c r="V999" s="764"/>
      <c r="W999" s="765"/>
      <c r="X999" s="766"/>
      <c r="Y999" s="767"/>
      <c r="Z999" s="768"/>
      <c r="AA999" s="768"/>
      <c r="AB999" s="768"/>
      <c r="AC999" s="768"/>
      <c r="AD999" s="769"/>
      <c r="AE999" s="740"/>
      <c r="AF999" s="741"/>
      <c r="AG999" s="757"/>
      <c r="AH999" s="740"/>
      <c r="AI999" s="741"/>
      <c r="AJ999" s="757"/>
      <c r="AK999" s="737"/>
      <c r="AL999" s="738"/>
      <c r="AM999" s="738"/>
      <c r="AN999" s="739"/>
      <c r="AO999" s="740">
        <f t="shared" ref="AO999:AO1005" si="14">ROUND(AE999*AH999*AK999,2)</f>
        <v>0</v>
      </c>
      <c r="AP999" s="741"/>
      <c r="AQ999" s="741"/>
      <c r="AR999" s="742"/>
    </row>
    <row r="1000" spans="3:44" ht="18" customHeight="1">
      <c r="C1000" s="758"/>
      <c r="D1000" s="759"/>
      <c r="E1000" s="760"/>
      <c r="F1000" s="761"/>
      <c r="G1000" s="762"/>
      <c r="H1000" s="762"/>
      <c r="I1000" s="762"/>
      <c r="J1000" s="762"/>
      <c r="K1000" s="762"/>
      <c r="L1000" s="762"/>
      <c r="M1000" s="762"/>
      <c r="N1000" s="762"/>
      <c r="O1000" s="762"/>
      <c r="P1000" s="762"/>
      <c r="Q1000" s="762"/>
      <c r="R1000" s="763"/>
      <c r="S1000" s="764"/>
      <c r="T1000" s="765"/>
      <c r="U1000" s="766"/>
      <c r="V1000" s="764"/>
      <c r="W1000" s="765"/>
      <c r="X1000" s="766"/>
      <c r="Y1000" s="767"/>
      <c r="Z1000" s="768"/>
      <c r="AA1000" s="768"/>
      <c r="AB1000" s="768"/>
      <c r="AC1000" s="768"/>
      <c r="AD1000" s="769"/>
      <c r="AE1000" s="740"/>
      <c r="AF1000" s="741"/>
      <c r="AG1000" s="757"/>
      <c r="AH1000" s="740"/>
      <c r="AI1000" s="741"/>
      <c r="AJ1000" s="757"/>
      <c r="AK1000" s="737"/>
      <c r="AL1000" s="738"/>
      <c r="AM1000" s="738"/>
      <c r="AN1000" s="739"/>
      <c r="AO1000" s="740">
        <f t="shared" si="14"/>
        <v>0</v>
      </c>
      <c r="AP1000" s="741"/>
      <c r="AQ1000" s="741"/>
      <c r="AR1000" s="742"/>
    </row>
    <row r="1001" spans="3:44" ht="18" customHeight="1">
      <c r="C1001" s="758"/>
      <c r="D1001" s="759"/>
      <c r="E1001" s="760"/>
      <c r="F1001" s="761"/>
      <c r="G1001" s="762"/>
      <c r="H1001" s="762"/>
      <c r="I1001" s="762"/>
      <c r="J1001" s="762"/>
      <c r="K1001" s="762"/>
      <c r="L1001" s="762"/>
      <c r="M1001" s="762"/>
      <c r="N1001" s="762"/>
      <c r="O1001" s="762"/>
      <c r="P1001" s="762"/>
      <c r="Q1001" s="762"/>
      <c r="R1001" s="763"/>
      <c r="S1001" s="764"/>
      <c r="T1001" s="765"/>
      <c r="U1001" s="766"/>
      <c r="V1001" s="764"/>
      <c r="W1001" s="765"/>
      <c r="X1001" s="766"/>
      <c r="Y1001" s="767"/>
      <c r="Z1001" s="768"/>
      <c r="AA1001" s="768"/>
      <c r="AB1001" s="768"/>
      <c r="AC1001" s="768"/>
      <c r="AD1001" s="769"/>
      <c r="AE1001" s="740"/>
      <c r="AF1001" s="741"/>
      <c r="AG1001" s="757"/>
      <c r="AH1001" s="740"/>
      <c r="AI1001" s="741"/>
      <c r="AJ1001" s="757"/>
      <c r="AK1001" s="737"/>
      <c r="AL1001" s="738"/>
      <c r="AM1001" s="738"/>
      <c r="AN1001" s="739"/>
      <c r="AO1001" s="740">
        <f t="shared" si="14"/>
        <v>0</v>
      </c>
      <c r="AP1001" s="741"/>
      <c r="AQ1001" s="741"/>
      <c r="AR1001" s="742"/>
    </row>
    <row r="1002" spans="3:44" ht="18" customHeight="1">
      <c r="C1002" s="758"/>
      <c r="D1002" s="759"/>
      <c r="E1002" s="760"/>
      <c r="F1002" s="761"/>
      <c r="G1002" s="762"/>
      <c r="H1002" s="762"/>
      <c r="I1002" s="762"/>
      <c r="J1002" s="762"/>
      <c r="K1002" s="762"/>
      <c r="L1002" s="762"/>
      <c r="M1002" s="762"/>
      <c r="N1002" s="762"/>
      <c r="O1002" s="762"/>
      <c r="P1002" s="762"/>
      <c r="Q1002" s="762"/>
      <c r="R1002" s="763"/>
      <c r="S1002" s="764"/>
      <c r="T1002" s="765"/>
      <c r="U1002" s="766"/>
      <c r="V1002" s="764"/>
      <c r="W1002" s="765"/>
      <c r="X1002" s="766"/>
      <c r="Y1002" s="767"/>
      <c r="Z1002" s="768"/>
      <c r="AA1002" s="768"/>
      <c r="AB1002" s="768"/>
      <c r="AC1002" s="768"/>
      <c r="AD1002" s="769"/>
      <c r="AE1002" s="740"/>
      <c r="AF1002" s="741"/>
      <c r="AG1002" s="757"/>
      <c r="AH1002" s="740"/>
      <c r="AI1002" s="741"/>
      <c r="AJ1002" s="757"/>
      <c r="AK1002" s="737"/>
      <c r="AL1002" s="738"/>
      <c r="AM1002" s="738"/>
      <c r="AN1002" s="739"/>
      <c r="AO1002" s="740">
        <f t="shared" si="14"/>
        <v>0</v>
      </c>
      <c r="AP1002" s="741"/>
      <c r="AQ1002" s="741"/>
      <c r="AR1002" s="742"/>
    </row>
    <row r="1003" spans="3:44" ht="18" customHeight="1">
      <c r="C1003" s="758"/>
      <c r="D1003" s="759"/>
      <c r="E1003" s="760"/>
      <c r="F1003" s="761"/>
      <c r="G1003" s="762"/>
      <c r="H1003" s="762"/>
      <c r="I1003" s="762"/>
      <c r="J1003" s="762"/>
      <c r="K1003" s="762"/>
      <c r="L1003" s="762"/>
      <c r="M1003" s="762"/>
      <c r="N1003" s="762"/>
      <c r="O1003" s="762"/>
      <c r="P1003" s="762"/>
      <c r="Q1003" s="762"/>
      <c r="R1003" s="763"/>
      <c r="S1003" s="764"/>
      <c r="T1003" s="765"/>
      <c r="U1003" s="766"/>
      <c r="V1003" s="764"/>
      <c r="W1003" s="765"/>
      <c r="X1003" s="766"/>
      <c r="Y1003" s="767"/>
      <c r="Z1003" s="768"/>
      <c r="AA1003" s="768"/>
      <c r="AB1003" s="768"/>
      <c r="AC1003" s="768"/>
      <c r="AD1003" s="769"/>
      <c r="AE1003" s="740"/>
      <c r="AF1003" s="741"/>
      <c r="AG1003" s="757"/>
      <c r="AH1003" s="740"/>
      <c r="AI1003" s="741"/>
      <c r="AJ1003" s="757"/>
      <c r="AK1003" s="737"/>
      <c r="AL1003" s="738"/>
      <c r="AM1003" s="738"/>
      <c r="AN1003" s="739"/>
      <c r="AO1003" s="740">
        <f t="shared" si="14"/>
        <v>0</v>
      </c>
      <c r="AP1003" s="741"/>
      <c r="AQ1003" s="741"/>
      <c r="AR1003" s="742"/>
    </row>
    <row r="1004" spans="3:44" ht="18" customHeight="1">
      <c r="C1004" s="758"/>
      <c r="D1004" s="759"/>
      <c r="E1004" s="760"/>
      <c r="F1004" s="761"/>
      <c r="G1004" s="762"/>
      <c r="H1004" s="762"/>
      <c r="I1004" s="762"/>
      <c r="J1004" s="762"/>
      <c r="K1004" s="762"/>
      <c r="L1004" s="762"/>
      <c r="M1004" s="762"/>
      <c r="N1004" s="762"/>
      <c r="O1004" s="762"/>
      <c r="P1004" s="762"/>
      <c r="Q1004" s="762"/>
      <c r="R1004" s="763"/>
      <c r="S1004" s="764"/>
      <c r="T1004" s="765"/>
      <c r="U1004" s="766"/>
      <c r="V1004" s="764"/>
      <c r="W1004" s="765"/>
      <c r="X1004" s="766"/>
      <c r="Y1004" s="767"/>
      <c r="Z1004" s="768"/>
      <c r="AA1004" s="768"/>
      <c r="AB1004" s="768"/>
      <c r="AC1004" s="768"/>
      <c r="AD1004" s="769"/>
      <c r="AE1004" s="740"/>
      <c r="AF1004" s="741"/>
      <c r="AG1004" s="757"/>
      <c r="AH1004" s="740"/>
      <c r="AI1004" s="741"/>
      <c r="AJ1004" s="757"/>
      <c r="AK1004" s="737"/>
      <c r="AL1004" s="738"/>
      <c r="AM1004" s="738"/>
      <c r="AN1004" s="739"/>
      <c r="AO1004" s="740">
        <f t="shared" si="14"/>
        <v>0</v>
      </c>
      <c r="AP1004" s="741"/>
      <c r="AQ1004" s="741"/>
      <c r="AR1004" s="742"/>
    </row>
    <row r="1005" spans="3:44" ht="18" customHeight="1">
      <c r="C1005" s="758"/>
      <c r="D1005" s="759"/>
      <c r="E1005" s="760"/>
      <c r="F1005" s="761"/>
      <c r="G1005" s="762"/>
      <c r="H1005" s="762"/>
      <c r="I1005" s="762"/>
      <c r="J1005" s="762"/>
      <c r="K1005" s="762"/>
      <c r="L1005" s="762"/>
      <c r="M1005" s="762"/>
      <c r="N1005" s="762"/>
      <c r="O1005" s="762"/>
      <c r="P1005" s="762"/>
      <c r="Q1005" s="762"/>
      <c r="R1005" s="763"/>
      <c r="S1005" s="764"/>
      <c r="T1005" s="765"/>
      <c r="U1005" s="766"/>
      <c r="V1005" s="764"/>
      <c r="W1005" s="765"/>
      <c r="X1005" s="766"/>
      <c r="Y1005" s="767"/>
      <c r="Z1005" s="768"/>
      <c r="AA1005" s="768"/>
      <c r="AB1005" s="768"/>
      <c r="AC1005" s="768"/>
      <c r="AD1005" s="769"/>
      <c r="AE1005" s="740"/>
      <c r="AF1005" s="741"/>
      <c r="AG1005" s="757"/>
      <c r="AH1005" s="740"/>
      <c r="AI1005" s="741"/>
      <c r="AJ1005" s="757"/>
      <c r="AK1005" s="737"/>
      <c r="AL1005" s="738"/>
      <c r="AM1005" s="738"/>
      <c r="AN1005" s="739"/>
      <c r="AO1005" s="740">
        <f t="shared" si="14"/>
        <v>0</v>
      </c>
      <c r="AP1005" s="741"/>
      <c r="AQ1005" s="741"/>
      <c r="AR1005" s="742"/>
    </row>
    <row r="1006" spans="3:44" ht="18" customHeight="1">
      <c r="C1006" s="743"/>
      <c r="D1006" s="744"/>
      <c r="E1006" s="744"/>
      <c r="F1006" s="744"/>
      <c r="G1006" s="744"/>
      <c r="H1006" s="744"/>
      <c r="I1006" s="744"/>
      <c r="J1006" s="744"/>
      <c r="K1006" s="744"/>
      <c r="L1006" s="744"/>
      <c r="M1006" s="744"/>
      <c r="N1006" s="744"/>
      <c r="O1006" s="744"/>
      <c r="P1006" s="744"/>
      <c r="Q1006" s="744"/>
      <c r="R1006" s="744"/>
      <c r="S1006" s="744"/>
      <c r="T1006" s="744"/>
      <c r="U1006" s="744"/>
      <c r="V1006" s="744"/>
      <c r="W1006" s="744"/>
      <c r="X1006" s="744"/>
      <c r="Y1006" s="745" t="s">
        <v>95</v>
      </c>
      <c r="Z1006" s="745"/>
      <c r="AA1006" s="745"/>
      <c r="AB1006" s="745"/>
      <c r="AC1006" s="745"/>
      <c r="AD1006" s="745"/>
      <c r="AE1006" s="745"/>
      <c r="AF1006" s="745"/>
      <c r="AG1006" s="745"/>
      <c r="AH1006" s="745"/>
      <c r="AI1006" s="745"/>
      <c r="AJ1006" s="745"/>
      <c r="AK1006" s="745"/>
      <c r="AL1006" s="745"/>
      <c r="AM1006" s="745"/>
      <c r="AN1006" s="430"/>
      <c r="AO1006" s="477">
        <f>SUM(AO998:AR1005)</f>
        <v>0</v>
      </c>
      <c r="AP1006" s="746"/>
      <c r="AQ1006" s="746"/>
      <c r="AR1006" s="747"/>
    </row>
    <row r="1008" spans="3:44" ht="18" customHeight="1">
      <c r="C1008" s="434"/>
      <c r="D1008" s="434"/>
      <c r="E1008" s="434"/>
      <c r="F1008" s="434"/>
      <c r="G1008" s="434"/>
      <c r="H1008" s="434"/>
      <c r="I1008" s="434"/>
      <c r="J1008" s="434"/>
      <c r="K1008" s="434"/>
      <c r="L1008" s="434"/>
      <c r="M1008" s="434"/>
      <c r="N1008" s="434"/>
      <c r="O1008" s="434"/>
      <c r="P1008" s="434"/>
      <c r="Q1008" s="434"/>
      <c r="R1008" s="434"/>
      <c r="S1008" s="434"/>
      <c r="T1008" s="434"/>
      <c r="U1008" s="434"/>
      <c r="V1008" s="434"/>
      <c r="W1008" s="434"/>
      <c r="X1008" s="748"/>
      <c r="Y1008" s="749" t="s">
        <v>96</v>
      </c>
      <c r="Z1008" s="750"/>
      <c r="AA1008" s="750"/>
      <c r="AB1008" s="750"/>
      <c r="AC1008" s="750"/>
      <c r="AD1008" s="750"/>
      <c r="AE1008" s="750"/>
      <c r="AF1008" s="750"/>
      <c r="AG1008" s="750"/>
      <c r="AH1008" s="750"/>
      <c r="AI1008" s="750"/>
      <c r="AJ1008" s="750"/>
      <c r="AK1008" s="750"/>
      <c r="AL1008" s="750"/>
      <c r="AM1008" s="750"/>
      <c r="AN1008" s="751"/>
      <c r="AO1008" s="752">
        <f>AO982+AO994+AO1006</f>
        <v>307.77</v>
      </c>
      <c r="AP1008" s="753"/>
      <c r="AQ1008" s="753"/>
      <c r="AR1008" s="754"/>
    </row>
    <row r="1009" spans="1:44" ht="18" customHeight="1">
      <c r="C1009" s="434"/>
      <c r="D1009" s="434"/>
      <c r="E1009" s="434"/>
      <c r="F1009" s="434"/>
      <c r="G1009" s="434"/>
      <c r="H1009" s="434"/>
      <c r="I1009" s="434"/>
      <c r="J1009" s="434"/>
      <c r="K1009" s="434"/>
      <c r="L1009" s="434"/>
      <c r="M1009" s="434"/>
      <c r="N1009" s="434"/>
      <c r="O1009" s="434"/>
      <c r="P1009" s="434"/>
      <c r="Q1009" s="434"/>
      <c r="R1009" s="434"/>
      <c r="S1009" s="434"/>
      <c r="T1009" s="434"/>
      <c r="U1009" s="434"/>
      <c r="V1009" s="434"/>
      <c r="W1009" s="434"/>
      <c r="X1009" s="748"/>
      <c r="Y1009" s="755" t="s">
        <v>97</v>
      </c>
      <c r="Z1009" s="756"/>
      <c r="AA1009" s="756"/>
      <c r="AB1009" s="756"/>
      <c r="AC1009" s="756"/>
      <c r="AD1009" s="756"/>
      <c r="AE1009" s="756"/>
      <c r="AF1009" s="756"/>
      <c r="AG1009" s="756"/>
      <c r="AH1009" s="442">
        <v>0.2031</v>
      </c>
      <c r="AI1009" s="442"/>
      <c r="AJ1009" s="442"/>
      <c r="AK1009" s="442"/>
      <c r="AL1009" s="442"/>
      <c r="AM1009" s="442"/>
      <c r="AN1009" s="443"/>
      <c r="AO1009" s="728">
        <f>ROUND(AO1008*AH1009,2)</f>
        <v>62.51</v>
      </c>
      <c r="AP1009" s="729"/>
      <c r="AQ1009" s="729"/>
      <c r="AR1009" s="730"/>
    </row>
    <row r="1010" spans="1:44" ht="18" customHeight="1">
      <c r="A1010" s="415" t="s">
        <v>870</v>
      </c>
      <c r="B1010" s="415"/>
      <c r="C1010" s="434"/>
      <c r="D1010" s="434"/>
      <c r="E1010" s="434"/>
      <c r="F1010" s="434"/>
      <c r="G1010" s="434"/>
      <c r="H1010" s="434"/>
      <c r="I1010" s="434"/>
      <c r="J1010" s="434"/>
      <c r="K1010" s="434"/>
      <c r="L1010" s="434"/>
      <c r="M1010" s="434"/>
      <c r="N1010" s="434"/>
      <c r="O1010" s="434"/>
      <c r="P1010" s="434"/>
      <c r="Q1010" s="434"/>
      <c r="R1010" s="434"/>
      <c r="S1010" s="434"/>
      <c r="T1010" s="434"/>
      <c r="U1010" s="434"/>
      <c r="V1010" s="434"/>
      <c r="W1010" s="434"/>
      <c r="X1010" s="748"/>
      <c r="Y1010" s="731" t="s">
        <v>98</v>
      </c>
      <c r="Z1010" s="732"/>
      <c r="AA1010" s="732"/>
      <c r="AB1010" s="732"/>
      <c r="AC1010" s="732"/>
      <c r="AD1010" s="732"/>
      <c r="AE1010" s="732"/>
      <c r="AF1010" s="732"/>
      <c r="AG1010" s="732"/>
      <c r="AH1010" s="732"/>
      <c r="AI1010" s="732"/>
      <c r="AJ1010" s="732"/>
      <c r="AK1010" s="732"/>
      <c r="AL1010" s="732"/>
      <c r="AM1010" s="732"/>
      <c r="AN1010" s="733"/>
      <c r="AO1010" s="734">
        <f>SUM(AO1008:AR1009)</f>
        <v>370.28</v>
      </c>
      <c r="AP1010" s="735"/>
      <c r="AQ1010" s="735"/>
      <c r="AR1010" s="736"/>
    </row>
    <row r="1012" spans="1:44" ht="18" customHeight="1">
      <c r="C1012" s="420" t="s">
        <v>99</v>
      </c>
      <c r="D1012" s="421"/>
      <c r="E1012" s="421"/>
      <c r="F1012" s="421"/>
      <c r="G1012" s="421"/>
      <c r="H1012" s="421"/>
      <c r="I1012" s="422"/>
      <c r="J1012" s="422"/>
      <c r="K1012" s="422"/>
      <c r="L1012" s="422"/>
      <c r="M1012" s="422"/>
      <c r="N1012" s="422"/>
      <c r="O1012" s="422"/>
      <c r="P1012" s="422"/>
      <c r="Q1012" s="422"/>
      <c r="R1012" s="422"/>
      <c r="S1012" s="422"/>
      <c r="T1012" s="422"/>
      <c r="U1012" s="422"/>
      <c r="V1012" s="422"/>
      <c r="W1012" s="422"/>
      <c r="X1012" s="422"/>
      <c r="Y1012" s="422"/>
      <c r="Z1012" s="422"/>
      <c r="AA1012" s="422"/>
      <c r="AB1012" s="422"/>
      <c r="AC1012" s="422"/>
      <c r="AD1012" s="422"/>
      <c r="AE1012" s="422"/>
      <c r="AF1012" s="422"/>
      <c r="AG1012" s="422"/>
      <c r="AH1012" s="422"/>
      <c r="AI1012" s="422"/>
      <c r="AJ1012" s="422"/>
      <c r="AK1012" s="422"/>
      <c r="AL1012" s="422"/>
      <c r="AM1012" s="422"/>
      <c r="AN1012" s="422"/>
      <c r="AO1012" s="422"/>
      <c r="AP1012" s="422"/>
      <c r="AQ1012" s="422"/>
      <c r="AR1012" s="423"/>
    </row>
    <row r="1013" spans="1:44" ht="18" customHeight="1">
      <c r="C1013" s="411"/>
      <c r="D1013" s="412"/>
      <c r="E1013" s="412"/>
      <c r="F1013" s="412"/>
      <c r="G1013" s="412"/>
      <c r="H1013" s="412"/>
      <c r="I1013" s="409"/>
      <c r="J1013" s="409"/>
      <c r="K1013" s="409"/>
      <c r="L1013" s="409"/>
      <c r="M1013" s="409"/>
      <c r="N1013" s="409"/>
      <c r="O1013" s="409"/>
      <c r="P1013" s="409"/>
      <c r="Q1013" s="409"/>
      <c r="R1013" s="409"/>
      <c r="S1013" s="409"/>
      <c r="T1013" s="409"/>
      <c r="U1013" s="409"/>
      <c r="V1013" s="409"/>
      <c r="W1013" s="409"/>
      <c r="X1013" s="409"/>
      <c r="Y1013" s="409"/>
      <c r="Z1013" s="409"/>
      <c r="AA1013" s="409"/>
      <c r="AB1013" s="409"/>
      <c r="AC1013" s="409"/>
      <c r="AD1013" s="409"/>
      <c r="AE1013" s="409"/>
      <c r="AF1013" s="409"/>
      <c r="AG1013" s="409"/>
      <c r="AH1013" s="409"/>
      <c r="AI1013" s="409"/>
      <c r="AJ1013" s="409"/>
      <c r="AK1013" s="409"/>
      <c r="AL1013" s="409"/>
      <c r="AM1013" s="409"/>
      <c r="AN1013" s="409"/>
      <c r="AO1013" s="409"/>
      <c r="AP1013" s="409"/>
      <c r="AQ1013" s="409"/>
      <c r="AR1013" s="410"/>
    </row>
    <row r="1014" spans="1:44" ht="18" customHeight="1">
      <c r="C1014" s="411"/>
      <c r="D1014" s="412"/>
      <c r="E1014" s="412"/>
      <c r="F1014" s="412"/>
      <c r="G1014" s="412"/>
      <c r="H1014" s="412"/>
      <c r="I1014" s="409"/>
      <c r="J1014" s="409"/>
      <c r="K1014" s="409"/>
      <c r="L1014" s="409"/>
      <c r="M1014" s="409"/>
      <c r="N1014" s="409"/>
      <c r="O1014" s="409"/>
      <c r="P1014" s="409"/>
      <c r="Q1014" s="409"/>
      <c r="R1014" s="409"/>
      <c r="S1014" s="409"/>
      <c r="T1014" s="409"/>
      <c r="U1014" s="409"/>
      <c r="V1014" s="409"/>
      <c r="W1014" s="409"/>
      <c r="X1014" s="409"/>
      <c r="Y1014" s="409"/>
      <c r="Z1014" s="409"/>
      <c r="AA1014" s="409"/>
      <c r="AB1014" s="409"/>
      <c r="AC1014" s="409"/>
      <c r="AD1014" s="409"/>
      <c r="AE1014" s="409"/>
      <c r="AF1014" s="409"/>
      <c r="AG1014" s="409"/>
      <c r="AH1014" s="409"/>
      <c r="AI1014" s="409"/>
      <c r="AJ1014" s="409"/>
      <c r="AK1014" s="409"/>
      <c r="AL1014" s="409"/>
      <c r="AM1014" s="409"/>
      <c r="AN1014" s="409"/>
      <c r="AO1014" s="409"/>
      <c r="AP1014" s="409"/>
      <c r="AQ1014" s="409"/>
      <c r="AR1014" s="410"/>
    </row>
    <row r="1015" spans="1:44" ht="18" customHeight="1">
      <c r="C1015" s="411"/>
      <c r="D1015" s="412"/>
      <c r="E1015" s="412"/>
      <c r="F1015" s="412"/>
      <c r="G1015" s="412"/>
      <c r="H1015" s="412"/>
      <c r="I1015" s="409"/>
      <c r="J1015" s="409"/>
      <c r="K1015" s="409"/>
      <c r="L1015" s="409"/>
      <c r="M1015" s="409"/>
      <c r="N1015" s="409"/>
      <c r="O1015" s="409"/>
      <c r="P1015" s="409"/>
      <c r="Q1015" s="409"/>
      <c r="R1015" s="409"/>
      <c r="S1015" s="409"/>
      <c r="T1015" s="409"/>
      <c r="U1015" s="409"/>
      <c r="V1015" s="409"/>
      <c r="W1015" s="409"/>
      <c r="X1015" s="409"/>
      <c r="Y1015" s="409"/>
      <c r="Z1015" s="409"/>
      <c r="AA1015" s="409"/>
      <c r="AB1015" s="409"/>
      <c r="AC1015" s="409"/>
      <c r="AD1015" s="409"/>
      <c r="AE1015" s="409"/>
      <c r="AF1015" s="409"/>
      <c r="AG1015" s="409"/>
      <c r="AH1015" s="409"/>
      <c r="AI1015" s="409"/>
      <c r="AJ1015" s="409"/>
      <c r="AK1015" s="409"/>
      <c r="AL1015" s="409"/>
      <c r="AM1015" s="409"/>
      <c r="AN1015" s="409"/>
      <c r="AO1015" s="409"/>
      <c r="AP1015" s="409"/>
      <c r="AQ1015" s="409"/>
      <c r="AR1015" s="410"/>
    </row>
    <row r="1016" spans="1:44" ht="18" customHeight="1">
      <c r="C1016" s="411"/>
      <c r="D1016" s="412"/>
      <c r="E1016" s="412"/>
      <c r="F1016" s="412"/>
      <c r="G1016" s="412"/>
      <c r="H1016" s="412"/>
      <c r="I1016" s="409"/>
      <c r="J1016" s="409"/>
      <c r="K1016" s="409"/>
      <c r="L1016" s="409"/>
      <c r="M1016" s="409"/>
      <c r="N1016" s="409"/>
      <c r="O1016" s="409"/>
      <c r="P1016" s="409"/>
      <c r="Q1016" s="409"/>
      <c r="R1016" s="409"/>
      <c r="S1016" s="409"/>
      <c r="T1016" s="409"/>
      <c r="U1016" s="409"/>
      <c r="V1016" s="409"/>
      <c r="W1016" s="409"/>
      <c r="X1016" s="409"/>
      <c r="Y1016" s="409"/>
      <c r="Z1016" s="409"/>
      <c r="AA1016" s="409"/>
      <c r="AB1016" s="409"/>
      <c r="AC1016" s="409"/>
      <c r="AD1016" s="409"/>
      <c r="AE1016" s="409"/>
      <c r="AF1016" s="409"/>
      <c r="AG1016" s="409"/>
      <c r="AH1016" s="409"/>
      <c r="AI1016" s="409"/>
      <c r="AJ1016" s="409"/>
      <c r="AK1016" s="409"/>
      <c r="AL1016" s="409"/>
      <c r="AM1016" s="409"/>
      <c r="AN1016" s="409"/>
      <c r="AO1016" s="409"/>
      <c r="AP1016" s="409"/>
      <c r="AQ1016" s="409"/>
      <c r="AR1016" s="410"/>
    </row>
    <row r="1017" spans="1:44" ht="18" customHeight="1">
      <c r="C1017" s="385"/>
      <c r="D1017" s="386"/>
      <c r="E1017" s="386"/>
      <c r="F1017" s="386"/>
      <c r="G1017" s="386"/>
      <c r="H1017" s="386"/>
      <c r="I1017" s="387"/>
      <c r="J1017" s="387"/>
      <c r="K1017" s="387"/>
      <c r="L1017" s="387"/>
      <c r="M1017" s="387"/>
      <c r="N1017" s="387"/>
      <c r="O1017" s="387"/>
      <c r="P1017" s="387"/>
      <c r="Q1017" s="387"/>
      <c r="R1017" s="387"/>
      <c r="S1017" s="387"/>
      <c r="T1017" s="387"/>
      <c r="U1017" s="387"/>
      <c r="V1017" s="387"/>
      <c r="W1017" s="387"/>
      <c r="X1017" s="387"/>
      <c r="Y1017" s="387"/>
      <c r="Z1017" s="387"/>
      <c r="AA1017" s="387"/>
      <c r="AB1017" s="387"/>
      <c r="AC1017" s="387"/>
      <c r="AD1017" s="387"/>
      <c r="AE1017" s="387"/>
      <c r="AF1017" s="387"/>
      <c r="AG1017" s="387"/>
      <c r="AH1017" s="387"/>
      <c r="AI1017" s="387"/>
      <c r="AJ1017" s="387"/>
      <c r="AK1017" s="387"/>
      <c r="AL1017" s="387"/>
      <c r="AM1017" s="387"/>
      <c r="AN1017" s="387"/>
      <c r="AO1017" s="387"/>
      <c r="AP1017" s="387"/>
      <c r="AQ1017" s="387"/>
      <c r="AR1017" s="388"/>
    </row>
    <row r="1019" spans="1:44" ht="18" customHeight="1">
      <c r="C1019" s="389" t="s">
        <v>100</v>
      </c>
      <c r="D1019" s="390"/>
      <c r="E1019" s="390"/>
      <c r="F1019" s="390"/>
      <c r="G1019" s="390"/>
      <c r="H1019" s="390"/>
      <c r="I1019" s="390"/>
      <c r="J1019" s="390"/>
      <c r="K1019" s="390"/>
      <c r="L1019" s="390"/>
      <c r="M1019" s="390"/>
      <c r="N1019" s="390"/>
      <c r="O1019" s="390"/>
      <c r="P1019" s="390"/>
      <c r="Q1019" s="390"/>
      <c r="R1019" s="390"/>
      <c r="S1019" s="390"/>
      <c r="T1019" s="390"/>
      <c r="U1019" s="390"/>
      <c r="V1019" s="390"/>
      <c r="W1019" s="390"/>
      <c r="X1019" s="390"/>
      <c r="Y1019" s="390"/>
      <c r="Z1019" s="390"/>
      <c r="AA1019" s="391"/>
      <c r="AB1019" s="392" t="str">
        <f>[4]C.UNIT.SERV.!$E$5</f>
        <v>DATA-BASE:      MAIO/2011/PR</v>
      </c>
      <c r="AC1019" s="393"/>
      <c r="AD1019" s="393"/>
      <c r="AE1019" s="393"/>
      <c r="AF1019" s="393"/>
      <c r="AG1019" s="393"/>
      <c r="AH1019" s="393"/>
      <c r="AI1019" s="394"/>
      <c r="AJ1019" s="392"/>
      <c r="AK1019" s="393"/>
      <c r="AL1019" s="393"/>
      <c r="AM1019" s="393"/>
      <c r="AN1019" s="393"/>
      <c r="AO1019" s="393"/>
      <c r="AP1019" s="393"/>
      <c r="AQ1019" s="393"/>
      <c r="AR1019" s="401"/>
    </row>
    <row r="1020" spans="1:44" ht="18" customHeight="1">
      <c r="C1020" s="404" t="s">
        <v>101</v>
      </c>
      <c r="D1020" s="405"/>
      <c r="E1020" s="405"/>
      <c r="F1020" s="405"/>
      <c r="G1020" s="405" t="s">
        <v>283</v>
      </c>
      <c r="H1020" s="405"/>
      <c r="I1020" s="405"/>
      <c r="J1020" s="405"/>
      <c r="K1020" s="405"/>
      <c r="L1020" s="405"/>
      <c r="M1020" s="405"/>
      <c r="N1020" s="405"/>
      <c r="O1020" s="405"/>
      <c r="P1020" s="405"/>
      <c r="Q1020" s="405"/>
      <c r="R1020" s="405"/>
      <c r="S1020" s="405"/>
      <c r="T1020" s="405"/>
      <c r="U1020" s="405"/>
      <c r="V1020" s="405"/>
      <c r="W1020" s="405"/>
      <c r="X1020" s="405"/>
      <c r="Y1020" s="405"/>
      <c r="Z1020" s="405"/>
      <c r="AA1020" s="406"/>
      <c r="AB1020" s="395"/>
      <c r="AC1020" s="396"/>
      <c r="AD1020" s="396"/>
      <c r="AE1020" s="396"/>
      <c r="AF1020" s="396"/>
      <c r="AG1020" s="396"/>
      <c r="AH1020" s="396"/>
      <c r="AI1020" s="397"/>
      <c r="AJ1020" s="395"/>
      <c r="AK1020" s="396"/>
      <c r="AL1020" s="396"/>
      <c r="AM1020" s="396"/>
      <c r="AN1020" s="396"/>
      <c r="AO1020" s="396"/>
      <c r="AP1020" s="396"/>
      <c r="AQ1020" s="396"/>
      <c r="AR1020" s="402"/>
    </row>
    <row r="1021" spans="1:44" ht="18" customHeight="1">
      <c r="C1021" s="404" t="s">
        <v>102</v>
      </c>
      <c r="D1021" s="405"/>
      <c r="E1021" s="405"/>
      <c r="F1021" s="405"/>
      <c r="G1021" s="405"/>
      <c r="H1021" s="405"/>
      <c r="I1021" s="405"/>
      <c r="J1021" s="405"/>
      <c r="K1021" s="405"/>
      <c r="L1021" s="405"/>
      <c r="M1021" s="405"/>
      <c r="N1021" s="405"/>
      <c r="O1021" s="405"/>
      <c r="P1021" s="405"/>
      <c r="Q1021" s="405"/>
      <c r="R1021" s="405"/>
      <c r="S1021" s="405"/>
      <c r="T1021" s="405"/>
      <c r="U1021" s="405"/>
      <c r="V1021" s="405"/>
      <c r="W1021" s="405"/>
      <c r="X1021" s="405"/>
      <c r="Y1021" s="405"/>
      <c r="Z1021" s="405"/>
      <c r="AA1021" s="406"/>
      <c r="AB1021" s="395"/>
      <c r="AC1021" s="396"/>
      <c r="AD1021" s="396"/>
      <c r="AE1021" s="396"/>
      <c r="AF1021" s="396"/>
      <c r="AG1021" s="396"/>
      <c r="AH1021" s="396"/>
      <c r="AI1021" s="397"/>
      <c r="AJ1021" s="395"/>
      <c r="AK1021" s="396"/>
      <c r="AL1021" s="396"/>
      <c r="AM1021" s="396"/>
      <c r="AN1021" s="396"/>
      <c r="AO1021" s="396"/>
      <c r="AP1021" s="396"/>
      <c r="AQ1021" s="396"/>
      <c r="AR1021" s="402"/>
    </row>
    <row r="1022" spans="1:44" ht="18" customHeight="1">
      <c r="C1022" s="407"/>
      <c r="D1022" s="408"/>
      <c r="E1022" s="408"/>
      <c r="F1022" s="408"/>
      <c r="G1022" s="408"/>
      <c r="H1022" s="408"/>
      <c r="I1022" s="408"/>
      <c r="J1022" s="408"/>
      <c r="K1022" s="408"/>
      <c r="L1022" s="408"/>
      <c r="M1022" s="408"/>
      <c r="N1022" s="408"/>
      <c r="O1022" s="408"/>
      <c r="P1022" s="408"/>
      <c r="Q1022" s="408"/>
      <c r="R1022" s="408"/>
      <c r="S1022" s="408"/>
      <c r="T1022" s="408"/>
      <c r="U1022" s="408"/>
      <c r="V1022" s="408"/>
      <c r="W1022" s="408"/>
      <c r="X1022" s="408"/>
      <c r="Y1022" s="408"/>
      <c r="Z1022" s="408"/>
      <c r="AA1022" s="408"/>
      <c r="AB1022" s="398"/>
      <c r="AC1022" s="399"/>
      <c r="AD1022" s="399"/>
      <c r="AE1022" s="399"/>
      <c r="AF1022" s="399"/>
      <c r="AG1022" s="399"/>
      <c r="AH1022" s="399"/>
      <c r="AI1022" s="400"/>
      <c r="AJ1022" s="398"/>
      <c r="AK1022" s="399"/>
      <c r="AL1022" s="399"/>
      <c r="AM1022" s="399"/>
      <c r="AN1022" s="399"/>
      <c r="AO1022" s="399"/>
      <c r="AP1022" s="399"/>
      <c r="AQ1022" s="399"/>
      <c r="AR1022" s="403"/>
    </row>
    <row r="1024" spans="1:44" ht="18" customHeight="1">
      <c r="C1024" s="850" t="s">
        <v>64</v>
      </c>
      <c r="D1024" s="851"/>
      <c r="E1024" s="851"/>
      <c r="F1024" s="851"/>
      <c r="G1024" s="851"/>
      <c r="H1024" s="851"/>
      <c r="I1024" s="851"/>
      <c r="J1024" s="851"/>
      <c r="K1024" s="851"/>
      <c r="L1024" s="851"/>
      <c r="M1024" s="851"/>
      <c r="N1024" s="851"/>
      <c r="O1024" s="851"/>
      <c r="P1024" s="851"/>
      <c r="Q1024" s="851"/>
      <c r="R1024" s="851"/>
      <c r="S1024" s="851"/>
      <c r="T1024" s="851"/>
      <c r="U1024" s="851"/>
      <c r="V1024" s="851"/>
      <c r="W1024" s="851"/>
      <c r="X1024" s="851"/>
      <c r="Y1024" s="851"/>
      <c r="Z1024" s="851"/>
      <c r="AA1024" s="851"/>
      <c r="AB1024" s="851"/>
      <c r="AC1024" s="851"/>
      <c r="AD1024" s="851"/>
      <c r="AE1024" s="851"/>
      <c r="AF1024" s="851"/>
      <c r="AG1024" s="851"/>
      <c r="AH1024" s="851"/>
      <c r="AI1024" s="851"/>
      <c r="AJ1024" s="851"/>
      <c r="AK1024" s="851"/>
      <c r="AL1024" s="851"/>
      <c r="AM1024" s="851"/>
      <c r="AN1024" s="851"/>
      <c r="AO1024" s="851"/>
      <c r="AP1024" s="851"/>
      <c r="AQ1024" s="851"/>
      <c r="AR1024" s="852"/>
    </row>
    <row r="1025" spans="3:44" ht="18" customHeight="1">
      <c r="C1025" s="853"/>
      <c r="D1025" s="854"/>
      <c r="E1025" s="854"/>
      <c r="F1025" s="854"/>
      <c r="G1025" s="854"/>
      <c r="H1025" s="854"/>
      <c r="I1025" s="854"/>
      <c r="J1025" s="854"/>
      <c r="K1025" s="854"/>
      <c r="L1025" s="854"/>
      <c r="M1025" s="854"/>
      <c r="N1025" s="854"/>
      <c r="O1025" s="854"/>
      <c r="P1025" s="854"/>
      <c r="Q1025" s="854"/>
      <c r="R1025" s="854"/>
      <c r="S1025" s="854"/>
      <c r="T1025" s="854"/>
      <c r="U1025" s="854"/>
      <c r="V1025" s="854"/>
      <c r="W1025" s="854"/>
      <c r="X1025" s="854"/>
      <c r="Y1025" s="854"/>
      <c r="Z1025" s="854"/>
      <c r="AA1025" s="854"/>
      <c r="AB1025" s="854"/>
      <c r="AC1025" s="854"/>
      <c r="AD1025" s="854"/>
      <c r="AE1025" s="854"/>
      <c r="AF1025" s="854"/>
      <c r="AG1025" s="854"/>
      <c r="AH1025" s="854"/>
      <c r="AI1025" s="854"/>
      <c r="AJ1025" s="854"/>
      <c r="AK1025" s="854"/>
      <c r="AL1025" s="854"/>
      <c r="AM1025" s="854"/>
      <c r="AN1025" s="854"/>
      <c r="AO1025" s="854"/>
      <c r="AP1025" s="854"/>
      <c r="AQ1025" s="854"/>
      <c r="AR1025" s="855"/>
    </row>
    <row r="1026" spans="3:44" ht="18" customHeight="1">
      <c r="C1026" s="856" t="s">
        <v>65</v>
      </c>
      <c r="D1026" s="857"/>
      <c r="E1026" s="857"/>
      <c r="F1026" s="857"/>
      <c r="G1026" s="860" t="s">
        <v>871</v>
      </c>
      <c r="H1026" s="860"/>
      <c r="I1026" s="860"/>
      <c r="J1026" s="861"/>
      <c r="K1026" s="864" t="s">
        <v>66</v>
      </c>
      <c r="L1026" s="865"/>
      <c r="M1026" s="865"/>
      <c r="N1026" s="865"/>
      <c r="O1026" s="526" t="s">
        <v>868</v>
      </c>
      <c r="P1026" s="526"/>
      <c r="Q1026" s="526"/>
      <c r="R1026" s="526"/>
      <c r="S1026" s="526"/>
      <c r="T1026" s="526"/>
      <c r="U1026" s="526"/>
      <c r="V1026" s="526"/>
      <c r="W1026" s="526"/>
      <c r="X1026" s="526"/>
      <c r="Y1026" s="526"/>
      <c r="Z1026" s="526"/>
      <c r="AA1026" s="526"/>
      <c r="AB1026" s="526"/>
      <c r="AC1026" s="526"/>
      <c r="AD1026" s="526"/>
      <c r="AE1026" s="526"/>
      <c r="AF1026" s="526"/>
      <c r="AG1026" s="526"/>
      <c r="AH1026" s="526"/>
      <c r="AI1026" s="526"/>
      <c r="AJ1026" s="526"/>
      <c r="AK1026" s="527"/>
      <c r="AL1026" s="864" t="s">
        <v>67</v>
      </c>
      <c r="AM1026" s="865"/>
      <c r="AN1026" s="865"/>
      <c r="AO1026" s="865"/>
      <c r="AP1026" s="843" t="s">
        <v>194</v>
      </c>
      <c r="AQ1026" s="843"/>
      <c r="AR1026" s="844"/>
    </row>
    <row r="1027" spans="3:44" ht="18" customHeight="1">
      <c r="C1027" s="858"/>
      <c r="D1027" s="859"/>
      <c r="E1027" s="859"/>
      <c r="F1027" s="859"/>
      <c r="G1027" s="862"/>
      <c r="H1027" s="862"/>
      <c r="I1027" s="862"/>
      <c r="J1027" s="863"/>
      <c r="K1027" s="866"/>
      <c r="L1027" s="867"/>
      <c r="M1027" s="867"/>
      <c r="N1027" s="867"/>
      <c r="O1027" s="528"/>
      <c r="P1027" s="528"/>
      <c r="Q1027" s="528"/>
      <c r="R1027" s="528"/>
      <c r="S1027" s="528"/>
      <c r="T1027" s="528"/>
      <c r="U1027" s="528"/>
      <c r="V1027" s="528"/>
      <c r="W1027" s="528"/>
      <c r="X1027" s="528"/>
      <c r="Y1027" s="528"/>
      <c r="Z1027" s="528"/>
      <c r="AA1027" s="528"/>
      <c r="AB1027" s="528"/>
      <c r="AC1027" s="528"/>
      <c r="AD1027" s="528"/>
      <c r="AE1027" s="528"/>
      <c r="AF1027" s="528"/>
      <c r="AG1027" s="528"/>
      <c r="AH1027" s="528"/>
      <c r="AI1027" s="528"/>
      <c r="AJ1027" s="528"/>
      <c r="AK1027" s="529"/>
      <c r="AL1027" s="866"/>
      <c r="AM1027" s="867"/>
      <c r="AN1027" s="867"/>
      <c r="AO1027" s="867"/>
      <c r="AP1027" s="845"/>
      <c r="AQ1027" s="845"/>
      <c r="AR1027" s="846"/>
    </row>
    <row r="1029" spans="3:44" ht="18" customHeight="1">
      <c r="C1029" s="794" t="s">
        <v>43</v>
      </c>
      <c r="D1029" s="774"/>
      <c r="E1029" s="775"/>
      <c r="F1029" s="773" t="s">
        <v>68</v>
      </c>
      <c r="G1029" s="774"/>
      <c r="H1029" s="774"/>
      <c r="I1029" s="774"/>
      <c r="J1029" s="774"/>
      <c r="K1029" s="774"/>
      <c r="L1029" s="774"/>
      <c r="M1029" s="774"/>
      <c r="N1029" s="774"/>
      <c r="O1029" s="774"/>
      <c r="P1029" s="774"/>
      <c r="Q1029" s="774"/>
      <c r="R1029" s="774"/>
      <c r="S1029" s="774"/>
      <c r="T1029" s="774"/>
      <c r="U1029" s="775"/>
      <c r="V1029" s="773" t="s">
        <v>249</v>
      </c>
      <c r="W1029" s="774"/>
      <c r="X1029" s="775"/>
      <c r="Y1029" s="847" t="s">
        <v>69</v>
      </c>
      <c r="Z1029" s="848"/>
      <c r="AA1029" s="848"/>
      <c r="AB1029" s="848"/>
      <c r="AC1029" s="848"/>
      <c r="AD1029" s="848"/>
      <c r="AE1029" s="848"/>
      <c r="AF1029" s="849"/>
      <c r="AG1029" s="847" t="s">
        <v>70</v>
      </c>
      <c r="AH1029" s="848"/>
      <c r="AI1029" s="848"/>
      <c r="AJ1029" s="848"/>
      <c r="AK1029" s="848"/>
      <c r="AL1029" s="848"/>
      <c r="AM1029" s="848"/>
      <c r="AN1029" s="849"/>
      <c r="AO1029" s="773" t="s">
        <v>71</v>
      </c>
      <c r="AP1029" s="774"/>
      <c r="AQ1029" s="774"/>
      <c r="AR1029" s="779"/>
    </row>
    <row r="1030" spans="3:44" ht="18" customHeight="1">
      <c r="C1030" s="795"/>
      <c r="D1030" s="777"/>
      <c r="E1030" s="778"/>
      <c r="F1030" s="776"/>
      <c r="G1030" s="777"/>
      <c r="H1030" s="777"/>
      <c r="I1030" s="777"/>
      <c r="J1030" s="777"/>
      <c r="K1030" s="777"/>
      <c r="L1030" s="777"/>
      <c r="M1030" s="777"/>
      <c r="N1030" s="777"/>
      <c r="O1030" s="777"/>
      <c r="P1030" s="777"/>
      <c r="Q1030" s="777"/>
      <c r="R1030" s="777"/>
      <c r="S1030" s="777"/>
      <c r="T1030" s="777"/>
      <c r="U1030" s="778"/>
      <c r="V1030" s="776"/>
      <c r="W1030" s="777"/>
      <c r="X1030" s="778"/>
      <c r="Y1030" s="834" t="s">
        <v>72</v>
      </c>
      <c r="Z1030" s="835"/>
      <c r="AA1030" s="835"/>
      <c r="AB1030" s="836"/>
      <c r="AC1030" s="834" t="s">
        <v>73</v>
      </c>
      <c r="AD1030" s="835"/>
      <c r="AE1030" s="835"/>
      <c r="AF1030" s="836"/>
      <c r="AG1030" s="834" t="s">
        <v>72</v>
      </c>
      <c r="AH1030" s="835"/>
      <c r="AI1030" s="835"/>
      <c r="AJ1030" s="836"/>
      <c r="AK1030" s="834" t="s">
        <v>73</v>
      </c>
      <c r="AL1030" s="835"/>
      <c r="AM1030" s="835"/>
      <c r="AN1030" s="836"/>
      <c r="AO1030" s="776"/>
      <c r="AP1030" s="777"/>
      <c r="AQ1030" s="777"/>
      <c r="AR1030" s="780"/>
    </row>
    <row r="1031" spans="3:44" ht="18" customHeight="1">
      <c r="C1031" s="781" t="s">
        <v>1386</v>
      </c>
      <c r="D1031" s="782"/>
      <c r="E1031" s="783"/>
      <c r="F1031" s="493" t="s">
        <v>866</v>
      </c>
      <c r="G1031" s="493"/>
      <c r="H1031" s="493"/>
      <c r="I1031" s="493"/>
      <c r="J1031" s="493"/>
      <c r="K1031" s="493"/>
      <c r="L1031" s="493"/>
      <c r="M1031" s="493"/>
      <c r="N1031" s="493"/>
      <c r="O1031" s="493"/>
      <c r="P1031" s="493"/>
      <c r="Q1031" s="493"/>
      <c r="R1031" s="493"/>
      <c r="S1031" s="493"/>
      <c r="T1031" s="493"/>
      <c r="U1031" s="493"/>
      <c r="V1031" s="837">
        <v>0.05</v>
      </c>
      <c r="W1031" s="838"/>
      <c r="X1031" s="839"/>
      <c r="Y1031" s="837">
        <v>1</v>
      </c>
      <c r="Z1031" s="838"/>
      <c r="AA1031" s="838"/>
      <c r="AB1031" s="839"/>
      <c r="AC1031" s="840">
        <f>1-Y1031</f>
        <v>0</v>
      </c>
      <c r="AD1031" s="841"/>
      <c r="AE1031" s="841"/>
      <c r="AF1031" s="842"/>
      <c r="AG1031" s="491">
        <f>VLOOKUP(C1031,[4]EQUIPAMENTOS!A$1:D$65536,3,FALSE)</f>
        <v>120.4585</v>
      </c>
      <c r="AH1031" s="491"/>
      <c r="AI1031" s="491"/>
      <c r="AJ1031" s="491"/>
      <c r="AK1031" s="491">
        <f>VLOOKUP(C1031,[4]EQUIPAMENTOS!A$1:D$65536,4,FALSE)</f>
        <v>17.939399999999999</v>
      </c>
      <c r="AL1031" s="491"/>
      <c r="AM1031" s="491"/>
      <c r="AN1031" s="491"/>
      <c r="AO1031" s="491">
        <f>ROUND((Y1031*AG1031+AC1031*AK1031)*V1031,2)</f>
        <v>6.02</v>
      </c>
      <c r="AP1031" s="491"/>
      <c r="AQ1031" s="491"/>
      <c r="AR1031" s="492"/>
    </row>
    <row r="1032" spans="3:44" ht="18" customHeight="1">
      <c r="C1032" s="758" t="s">
        <v>1387</v>
      </c>
      <c r="D1032" s="759"/>
      <c r="E1032" s="760"/>
      <c r="F1032" s="493" t="s">
        <v>867</v>
      </c>
      <c r="G1032" s="493"/>
      <c r="H1032" s="493"/>
      <c r="I1032" s="493"/>
      <c r="J1032" s="493"/>
      <c r="K1032" s="493"/>
      <c r="L1032" s="493"/>
      <c r="M1032" s="493"/>
      <c r="N1032" s="493"/>
      <c r="O1032" s="493"/>
      <c r="P1032" s="493"/>
      <c r="Q1032" s="493"/>
      <c r="R1032" s="493"/>
      <c r="S1032" s="493"/>
      <c r="T1032" s="493"/>
      <c r="U1032" s="493"/>
      <c r="V1032" s="466">
        <v>0.02</v>
      </c>
      <c r="W1032" s="467"/>
      <c r="X1032" s="468"/>
      <c r="Y1032" s="466">
        <v>1</v>
      </c>
      <c r="Z1032" s="467"/>
      <c r="AA1032" s="467"/>
      <c r="AB1032" s="468"/>
      <c r="AC1032" s="828">
        <f>1-Y1032</f>
        <v>0</v>
      </c>
      <c r="AD1032" s="829"/>
      <c r="AE1032" s="829"/>
      <c r="AF1032" s="830"/>
      <c r="AG1032" s="491">
        <f>VLOOKUP(C1032,[4]EQUIPAMENTOS!A$1:D$65536,3,FALSE)</f>
        <v>123.3065</v>
      </c>
      <c r="AH1032" s="491"/>
      <c r="AI1032" s="491"/>
      <c r="AJ1032" s="491"/>
      <c r="AK1032" s="491">
        <f>VLOOKUP(C1032,[4]EQUIPAMENTOS!A$1:D$65536,4,FALSE)</f>
        <v>17.939399999999999</v>
      </c>
      <c r="AL1032" s="491"/>
      <c r="AM1032" s="491"/>
      <c r="AN1032" s="491"/>
      <c r="AO1032" s="491">
        <f>ROUND((Y1032*AG1032+AC1032*AK1032)*V1032,2)</f>
        <v>2.4700000000000002</v>
      </c>
      <c r="AP1032" s="491"/>
      <c r="AQ1032" s="491"/>
      <c r="AR1032" s="492"/>
    </row>
    <row r="1033" spans="3:44" ht="18" customHeight="1">
      <c r="C1033" s="758"/>
      <c r="D1033" s="759"/>
      <c r="E1033" s="760"/>
      <c r="F1033" s="493"/>
      <c r="G1033" s="493"/>
      <c r="H1033" s="493"/>
      <c r="I1033" s="493"/>
      <c r="J1033" s="493"/>
      <c r="K1033" s="493"/>
      <c r="L1033" s="493"/>
      <c r="M1033" s="493"/>
      <c r="N1033" s="493"/>
      <c r="O1033" s="493"/>
      <c r="P1033" s="493"/>
      <c r="Q1033" s="493"/>
      <c r="R1033" s="493"/>
      <c r="S1033" s="493"/>
      <c r="T1033" s="493"/>
      <c r="U1033" s="493"/>
      <c r="V1033" s="466"/>
      <c r="W1033" s="467"/>
      <c r="X1033" s="468"/>
      <c r="Y1033" s="466"/>
      <c r="Z1033" s="467"/>
      <c r="AA1033" s="467"/>
      <c r="AB1033" s="468"/>
      <c r="AC1033" s="828"/>
      <c r="AD1033" s="829"/>
      <c r="AE1033" s="829"/>
      <c r="AF1033" s="830"/>
      <c r="AG1033" s="491"/>
      <c r="AH1033" s="491"/>
      <c r="AI1033" s="491"/>
      <c r="AJ1033" s="491"/>
      <c r="AK1033" s="491"/>
      <c r="AL1033" s="491"/>
      <c r="AM1033" s="491"/>
      <c r="AN1033" s="491"/>
      <c r="AO1033" s="491"/>
      <c r="AP1033" s="491"/>
      <c r="AQ1033" s="491"/>
      <c r="AR1033" s="492"/>
    </row>
    <row r="1034" spans="3:44" ht="18" customHeight="1">
      <c r="C1034" s="758"/>
      <c r="D1034" s="759"/>
      <c r="E1034" s="760"/>
      <c r="F1034" s="493"/>
      <c r="G1034" s="493"/>
      <c r="H1034" s="493"/>
      <c r="I1034" s="493"/>
      <c r="J1034" s="493"/>
      <c r="K1034" s="493"/>
      <c r="L1034" s="493"/>
      <c r="M1034" s="493"/>
      <c r="N1034" s="493"/>
      <c r="O1034" s="493"/>
      <c r="P1034" s="493"/>
      <c r="Q1034" s="493"/>
      <c r="R1034" s="493"/>
      <c r="S1034" s="493"/>
      <c r="T1034" s="493"/>
      <c r="U1034" s="493"/>
      <c r="V1034" s="466"/>
      <c r="W1034" s="467"/>
      <c r="X1034" s="468"/>
      <c r="Y1034" s="466"/>
      <c r="Z1034" s="467"/>
      <c r="AA1034" s="467"/>
      <c r="AB1034" s="468"/>
      <c r="AC1034" s="828"/>
      <c r="AD1034" s="829"/>
      <c r="AE1034" s="829"/>
      <c r="AF1034" s="830"/>
      <c r="AG1034" s="491"/>
      <c r="AH1034" s="491"/>
      <c r="AI1034" s="491"/>
      <c r="AJ1034" s="491"/>
      <c r="AK1034" s="491"/>
      <c r="AL1034" s="491"/>
      <c r="AM1034" s="491"/>
      <c r="AN1034" s="491"/>
      <c r="AO1034" s="491"/>
      <c r="AP1034" s="491"/>
      <c r="AQ1034" s="491"/>
      <c r="AR1034" s="492"/>
    </row>
    <row r="1035" spans="3:44" ht="18" customHeight="1">
      <c r="C1035" s="758"/>
      <c r="D1035" s="759"/>
      <c r="E1035" s="760"/>
      <c r="F1035" s="493"/>
      <c r="G1035" s="493"/>
      <c r="H1035" s="493"/>
      <c r="I1035" s="493"/>
      <c r="J1035" s="493"/>
      <c r="K1035" s="493"/>
      <c r="L1035" s="493"/>
      <c r="M1035" s="493"/>
      <c r="N1035" s="493"/>
      <c r="O1035" s="493"/>
      <c r="P1035" s="493"/>
      <c r="Q1035" s="493"/>
      <c r="R1035" s="493"/>
      <c r="S1035" s="493"/>
      <c r="T1035" s="493"/>
      <c r="U1035" s="493"/>
      <c r="V1035" s="466"/>
      <c r="W1035" s="467"/>
      <c r="X1035" s="468"/>
      <c r="Y1035" s="466"/>
      <c r="Z1035" s="467"/>
      <c r="AA1035" s="467"/>
      <c r="AB1035" s="468"/>
      <c r="AC1035" s="828"/>
      <c r="AD1035" s="829"/>
      <c r="AE1035" s="829"/>
      <c r="AF1035" s="830"/>
      <c r="AG1035" s="491"/>
      <c r="AH1035" s="491"/>
      <c r="AI1035" s="491"/>
      <c r="AJ1035" s="491"/>
      <c r="AK1035" s="491"/>
      <c r="AL1035" s="491"/>
      <c r="AM1035" s="491"/>
      <c r="AN1035" s="491"/>
      <c r="AO1035" s="491"/>
      <c r="AP1035" s="491"/>
      <c r="AQ1035" s="491"/>
      <c r="AR1035" s="492"/>
    </row>
    <row r="1036" spans="3:44" ht="18" customHeight="1">
      <c r="C1036" s="758"/>
      <c r="D1036" s="759"/>
      <c r="E1036" s="760"/>
      <c r="F1036" s="493"/>
      <c r="G1036" s="493"/>
      <c r="H1036" s="493"/>
      <c r="I1036" s="493"/>
      <c r="J1036" s="493"/>
      <c r="K1036" s="493"/>
      <c r="L1036" s="493"/>
      <c r="M1036" s="493"/>
      <c r="N1036" s="493"/>
      <c r="O1036" s="493"/>
      <c r="P1036" s="493"/>
      <c r="Q1036" s="493"/>
      <c r="R1036" s="493"/>
      <c r="S1036" s="493"/>
      <c r="T1036" s="493"/>
      <c r="U1036" s="493"/>
      <c r="V1036" s="466"/>
      <c r="W1036" s="467"/>
      <c r="X1036" s="468"/>
      <c r="Y1036" s="466"/>
      <c r="Z1036" s="467"/>
      <c r="AA1036" s="467"/>
      <c r="AB1036" s="468"/>
      <c r="AC1036" s="828"/>
      <c r="AD1036" s="829"/>
      <c r="AE1036" s="829"/>
      <c r="AF1036" s="830"/>
      <c r="AG1036" s="491"/>
      <c r="AH1036" s="491"/>
      <c r="AI1036" s="491"/>
      <c r="AJ1036" s="491"/>
      <c r="AK1036" s="491"/>
      <c r="AL1036" s="491"/>
      <c r="AM1036" s="491"/>
      <c r="AN1036" s="491"/>
      <c r="AO1036" s="491"/>
      <c r="AP1036" s="491"/>
      <c r="AQ1036" s="491"/>
      <c r="AR1036" s="492"/>
    </row>
    <row r="1037" spans="3:44" ht="18" customHeight="1">
      <c r="C1037" s="758"/>
      <c r="D1037" s="759"/>
      <c r="E1037" s="760"/>
      <c r="F1037" s="796"/>
      <c r="G1037" s="797"/>
      <c r="H1037" s="797"/>
      <c r="I1037" s="797"/>
      <c r="J1037" s="797"/>
      <c r="K1037" s="797"/>
      <c r="L1037" s="797"/>
      <c r="M1037" s="797"/>
      <c r="N1037" s="797"/>
      <c r="O1037" s="797"/>
      <c r="P1037" s="797"/>
      <c r="Q1037" s="797"/>
      <c r="R1037" s="797"/>
      <c r="S1037" s="797"/>
      <c r="T1037" s="797"/>
      <c r="U1037" s="798"/>
      <c r="V1037" s="466"/>
      <c r="W1037" s="467"/>
      <c r="X1037" s="468"/>
      <c r="Y1037" s="466"/>
      <c r="Z1037" s="467"/>
      <c r="AA1037" s="467"/>
      <c r="AB1037" s="468"/>
      <c r="AC1037" s="828"/>
      <c r="AD1037" s="829"/>
      <c r="AE1037" s="829"/>
      <c r="AF1037" s="830"/>
      <c r="AG1037" s="466"/>
      <c r="AH1037" s="467"/>
      <c r="AI1037" s="467"/>
      <c r="AJ1037" s="468"/>
      <c r="AK1037" s="466"/>
      <c r="AL1037" s="467"/>
      <c r="AM1037" s="467"/>
      <c r="AN1037" s="468"/>
      <c r="AO1037" s="466"/>
      <c r="AP1037" s="467"/>
      <c r="AQ1037" s="467"/>
      <c r="AR1037" s="823"/>
    </row>
    <row r="1038" spans="3:44" ht="18" customHeight="1">
      <c r="C1038" s="758"/>
      <c r="D1038" s="759"/>
      <c r="E1038" s="760"/>
      <c r="F1038" s="796"/>
      <c r="G1038" s="797"/>
      <c r="H1038" s="797"/>
      <c r="I1038" s="797"/>
      <c r="J1038" s="797"/>
      <c r="K1038" s="797"/>
      <c r="L1038" s="797"/>
      <c r="M1038" s="797"/>
      <c r="N1038" s="797"/>
      <c r="O1038" s="797"/>
      <c r="P1038" s="797"/>
      <c r="Q1038" s="797"/>
      <c r="R1038" s="797"/>
      <c r="S1038" s="797"/>
      <c r="T1038" s="797"/>
      <c r="U1038" s="798"/>
      <c r="V1038" s="466"/>
      <c r="W1038" s="467"/>
      <c r="X1038" s="468"/>
      <c r="Y1038" s="466"/>
      <c r="Z1038" s="467"/>
      <c r="AA1038" s="467"/>
      <c r="AB1038" s="468"/>
      <c r="AC1038" s="828"/>
      <c r="AD1038" s="829"/>
      <c r="AE1038" s="829"/>
      <c r="AF1038" s="830"/>
      <c r="AG1038" s="466"/>
      <c r="AH1038" s="467"/>
      <c r="AI1038" s="467"/>
      <c r="AJ1038" s="468"/>
      <c r="AK1038" s="466"/>
      <c r="AL1038" s="467"/>
      <c r="AM1038" s="467"/>
      <c r="AN1038" s="468"/>
      <c r="AO1038" s="466"/>
      <c r="AP1038" s="467"/>
      <c r="AQ1038" s="467"/>
      <c r="AR1038" s="823"/>
    </row>
    <row r="1039" spans="3:44" ht="18" customHeight="1">
      <c r="C1039" s="743"/>
      <c r="D1039" s="744"/>
      <c r="E1039" s="744"/>
      <c r="F1039" s="744"/>
      <c r="G1039" s="744"/>
      <c r="H1039" s="744"/>
      <c r="I1039" s="744"/>
      <c r="J1039" s="744"/>
      <c r="K1039" s="744"/>
      <c r="L1039" s="744"/>
      <c r="M1039" s="744"/>
      <c r="N1039" s="744"/>
      <c r="O1039" s="744"/>
      <c r="P1039" s="744"/>
      <c r="Q1039" s="744"/>
      <c r="R1039" s="744"/>
      <c r="S1039" s="744"/>
      <c r="T1039" s="744"/>
      <c r="U1039" s="744"/>
      <c r="V1039" s="744"/>
      <c r="W1039" s="744"/>
      <c r="X1039" s="824"/>
      <c r="Y1039" s="825" t="s">
        <v>74</v>
      </c>
      <c r="Z1039" s="826"/>
      <c r="AA1039" s="826"/>
      <c r="AB1039" s="826"/>
      <c r="AC1039" s="826"/>
      <c r="AD1039" s="826"/>
      <c r="AE1039" s="826"/>
      <c r="AF1039" s="826"/>
      <c r="AG1039" s="826"/>
      <c r="AH1039" s="826"/>
      <c r="AI1039" s="826"/>
      <c r="AJ1039" s="826"/>
      <c r="AK1039" s="826"/>
      <c r="AL1039" s="826"/>
      <c r="AM1039" s="826"/>
      <c r="AN1039" s="827"/>
      <c r="AO1039" s="477">
        <f>SUM(AO1031:AR1038)</f>
        <v>8.49</v>
      </c>
      <c r="AP1039" s="746"/>
      <c r="AQ1039" s="746"/>
      <c r="AR1039" s="747"/>
    </row>
    <row r="1041" spans="3:44" ht="18" customHeight="1">
      <c r="C1041" s="794" t="s">
        <v>43</v>
      </c>
      <c r="D1041" s="774"/>
      <c r="E1041" s="775"/>
      <c r="F1041" s="773" t="s">
        <v>75</v>
      </c>
      <c r="G1041" s="774"/>
      <c r="H1041" s="774"/>
      <c r="I1041" s="774"/>
      <c r="J1041" s="774"/>
      <c r="K1041" s="774"/>
      <c r="L1041" s="774"/>
      <c r="M1041" s="774"/>
      <c r="N1041" s="774"/>
      <c r="O1041" s="774"/>
      <c r="P1041" s="774"/>
      <c r="Q1041" s="774"/>
      <c r="R1041" s="774"/>
      <c r="S1041" s="774"/>
      <c r="T1041" s="774"/>
      <c r="U1041" s="774"/>
      <c r="V1041" s="774"/>
      <c r="W1041" s="774"/>
      <c r="X1041" s="774"/>
      <c r="Y1041" s="774"/>
      <c r="Z1041" s="774"/>
      <c r="AA1041" s="774"/>
      <c r="AB1041" s="775"/>
      <c r="AC1041" s="773" t="s">
        <v>76</v>
      </c>
      <c r="AD1041" s="774"/>
      <c r="AE1041" s="774"/>
      <c r="AF1041" s="775"/>
      <c r="AG1041" s="773" t="s">
        <v>249</v>
      </c>
      <c r="AH1041" s="774"/>
      <c r="AI1041" s="774"/>
      <c r="AJ1041" s="775"/>
      <c r="AK1041" s="773" t="s">
        <v>77</v>
      </c>
      <c r="AL1041" s="774"/>
      <c r="AM1041" s="774"/>
      <c r="AN1041" s="775"/>
      <c r="AO1041" s="773" t="s">
        <v>71</v>
      </c>
      <c r="AP1041" s="774"/>
      <c r="AQ1041" s="774"/>
      <c r="AR1041" s="779"/>
    </row>
    <row r="1042" spans="3:44" ht="18" customHeight="1">
      <c r="C1042" s="795"/>
      <c r="D1042" s="777"/>
      <c r="E1042" s="778"/>
      <c r="F1042" s="776"/>
      <c r="G1042" s="777"/>
      <c r="H1042" s="777"/>
      <c r="I1042" s="777"/>
      <c r="J1042" s="777"/>
      <c r="K1042" s="777"/>
      <c r="L1042" s="777"/>
      <c r="M1042" s="777"/>
      <c r="N1042" s="777"/>
      <c r="O1042" s="777"/>
      <c r="P1042" s="777"/>
      <c r="Q1042" s="777"/>
      <c r="R1042" s="777"/>
      <c r="S1042" s="777"/>
      <c r="T1042" s="777"/>
      <c r="U1042" s="777"/>
      <c r="V1042" s="777"/>
      <c r="W1042" s="777"/>
      <c r="X1042" s="777"/>
      <c r="Y1042" s="777"/>
      <c r="Z1042" s="777"/>
      <c r="AA1042" s="777"/>
      <c r="AB1042" s="778"/>
      <c r="AC1042" s="776"/>
      <c r="AD1042" s="777"/>
      <c r="AE1042" s="777"/>
      <c r="AF1042" s="778"/>
      <c r="AG1042" s="776"/>
      <c r="AH1042" s="777"/>
      <c r="AI1042" s="777"/>
      <c r="AJ1042" s="778"/>
      <c r="AK1042" s="776"/>
      <c r="AL1042" s="777"/>
      <c r="AM1042" s="777"/>
      <c r="AN1042" s="778"/>
      <c r="AO1042" s="776"/>
      <c r="AP1042" s="777"/>
      <c r="AQ1042" s="777"/>
      <c r="AR1042" s="780"/>
    </row>
    <row r="1043" spans="3:44" ht="18" customHeight="1">
      <c r="C1043" s="781" t="s">
        <v>940</v>
      </c>
      <c r="D1043" s="782"/>
      <c r="E1043" s="783"/>
      <c r="F1043" s="493" t="s">
        <v>105</v>
      </c>
      <c r="G1043" s="493"/>
      <c r="H1043" s="493"/>
      <c r="I1043" s="493"/>
      <c r="J1043" s="493"/>
      <c r="K1043" s="493"/>
      <c r="L1043" s="493"/>
      <c r="M1043" s="493"/>
      <c r="N1043" s="493"/>
      <c r="O1043" s="493"/>
      <c r="P1043" s="493"/>
      <c r="Q1043" s="493"/>
      <c r="R1043" s="493"/>
      <c r="S1043" s="493"/>
      <c r="T1043" s="493"/>
      <c r="U1043" s="493"/>
      <c r="V1043" s="493"/>
      <c r="W1043" s="493"/>
      <c r="X1043" s="493"/>
      <c r="Y1043" s="493"/>
      <c r="Z1043" s="493"/>
      <c r="AA1043" s="493"/>
      <c r="AB1043" s="493"/>
      <c r="AC1043" s="770"/>
      <c r="AD1043" s="771"/>
      <c r="AE1043" s="771"/>
      <c r="AF1043" s="790"/>
      <c r="AG1043" s="770">
        <v>3</v>
      </c>
      <c r="AH1043" s="771"/>
      <c r="AI1043" s="771"/>
      <c r="AJ1043" s="790"/>
      <c r="AK1043" s="449">
        <f>VLOOKUP(C1043,[4]MÃODEOBRA!A$1:D$65536,4,FALSE)</f>
        <v>22.98488</v>
      </c>
      <c r="AL1043" s="449"/>
      <c r="AM1043" s="449"/>
      <c r="AN1043" s="449"/>
      <c r="AO1043" s="491">
        <f>ROUND(AG1043*AK1043,2)</f>
        <v>68.95</v>
      </c>
      <c r="AP1043" s="491"/>
      <c r="AQ1043" s="491"/>
      <c r="AR1043" s="492"/>
    </row>
    <row r="1044" spans="3:44" ht="18" customHeight="1">
      <c r="C1044" s="758"/>
      <c r="D1044" s="759"/>
      <c r="E1044" s="760"/>
      <c r="F1044" s="493"/>
      <c r="G1044" s="493"/>
      <c r="H1044" s="493"/>
      <c r="I1044" s="493"/>
      <c r="J1044" s="493"/>
      <c r="K1044" s="493"/>
      <c r="L1044" s="493"/>
      <c r="M1044" s="493"/>
      <c r="N1044" s="493"/>
      <c r="O1044" s="493"/>
      <c r="P1044" s="493"/>
      <c r="Q1044" s="493"/>
      <c r="R1044" s="493"/>
      <c r="S1044" s="493"/>
      <c r="T1044" s="493"/>
      <c r="U1044" s="493"/>
      <c r="V1044" s="493"/>
      <c r="W1044" s="493"/>
      <c r="X1044" s="493"/>
      <c r="Y1044" s="493"/>
      <c r="Z1044" s="493"/>
      <c r="AA1044" s="493"/>
      <c r="AB1044" s="493"/>
      <c r="AC1044" s="740"/>
      <c r="AD1044" s="741"/>
      <c r="AE1044" s="741"/>
      <c r="AF1044" s="757"/>
      <c r="AG1044" s="740"/>
      <c r="AH1044" s="741"/>
      <c r="AI1044" s="741"/>
      <c r="AJ1044" s="757"/>
      <c r="AK1044" s="449"/>
      <c r="AL1044" s="449"/>
      <c r="AM1044" s="449"/>
      <c r="AN1044" s="449"/>
      <c r="AO1044" s="491"/>
      <c r="AP1044" s="491"/>
      <c r="AQ1044" s="491"/>
      <c r="AR1044" s="492"/>
    </row>
    <row r="1045" spans="3:44" ht="18" customHeight="1">
      <c r="C1045" s="758"/>
      <c r="D1045" s="759"/>
      <c r="E1045" s="760"/>
      <c r="F1045" s="796"/>
      <c r="G1045" s="797"/>
      <c r="H1045" s="797"/>
      <c r="I1045" s="797"/>
      <c r="J1045" s="797"/>
      <c r="K1045" s="797"/>
      <c r="L1045" s="797"/>
      <c r="M1045" s="797"/>
      <c r="N1045" s="797"/>
      <c r="O1045" s="797"/>
      <c r="P1045" s="797"/>
      <c r="Q1045" s="797"/>
      <c r="R1045" s="797"/>
      <c r="S1045" s="797"/>
      <c r="T1045" s="797"/>
      <c r="U1045" s="797"/>
      <c r="V1045" s="797"/>
      <c r="W1045" s="797"/>
      <c r="X1045" s="797"/>
      <c r="Y1045" s="797"/>
      <c r="Z1045" s="797"/>
      <c r="AA1045" s="797"/>
      <c r="AB1045" s="798"/>
      <c r="AC1045" s="740"/>
      <c r="AD1045" s="741"/>
      <c r="AE1045" s="741"/>
      <c r="AF1045" s="757"/>
      <c r="AG1045" s="740"/>
      <c r="AH1045" s="741"/>
      <c r="AI1045" s="741"/>
      <c r="AJ1045" s="757"/>
      <c r="AK1045" s="740"/>
      <c r="AL1045" s="741"/>
      <c r="AM1045" s="741"/>
      <c r="AN1045" s="757"/>
      <c r="AO1045" s="466"/>
      <c r="AP1045" s="467"/>
      <c r="AQ1045" s="467"/>
      <c r="AR1045" s="823"/>
    </row>
    <row r="1046" spans="3:44" ht="18" customHeight="1">
      <c r="C1046" s="758"/>
      <c r="D1046" s="759"/>
      <c r="E1046" s="760"/>
      <c r="F1046" s="796"/>
      <c r="G1046" s="797"/>
      <c r="H1046" s="797"/>
      <c r="I1046" s="797"/>
      <c r="J1046" s="797"/>
      <c r="K1046" s="797"/>
      <c r="L1046" s="797"/>
      <c r="M1046" s="797"/>
      <c r="N1046" s="797"/>
      <c r="O1046" s="797"/>
      <c r="P1046" s="797"/>
      <c r="Q1046" s="797"/>
      <c r="R1046" s="797"/>
      <c r="S1046" s="797"/>
      <c r="T1046" s="797"/>
      <c r="U1046" s="797"/>
      <c r="V1046" s="797"/>
      <c r="W1046" s="797"/>
      <c r="X1046" s="797"/>
      <c r="Y1046" s="797"/>
      <c r="Z1046" s="797"/>
      <c r="AA1046" s="797"/>
      <c r="AB1046" s="798"/>
      <c r="AC1046" s="740"/>
      <c r="AD1046" s="741"/>
      <c r="AE1046" s="741"/>
      <c r="AF1046" s="757"/>
      <c r="AG1046" s="740"/>
      <c r="AH1046" s="741"/>
      <c r="AI1046" s="741"/>
      <c r="AJ1046" s="757"/>
      <c r="AK1046" s="740"/>
      <c r="AL1046" s="741"/>
      <c r="AM1046" s="741"/>
      <c r="AN1046" s="757"/>
      <c r="AO1046" s="466"/>
      <c r="AP1046" s="467"/>
      <c r="AQ1046" s="467"/>
      <c r="AR1046" s="823"/>
    </row>
    <row r="1047" spans="3:44" ht="18" customHeight="1">
      <c r="C1047" s="758"/>
      <c r="D1047" s="759"/>
      <c r="E1047" s="760"/>
      <c r="F1047" s="796"/>
      <c r="G1047" s="797"/>
      <c r="H1047" s="797"/>
      <c r="I1047" s="797"/>
      <c r="J1047" s="797"/>
      <c r="K1047" s="797"/>
      <c r="L1047" s="797"/>
      <c r="M1047" s="797"/>
      <c r="N1047" s="797"/>
      <c r="O1047" s="797"/>
      <c r="P1047" s="797"/>
      <c r="Q1047" s="797"/>
      <c r="R1047" s="797"/>
      <c r="S1047" s="797"/>
      <c r="T1047" s="797"/>
      <c r="U1047" s="797"/>
      <c r="V1047" s="797"/>
      <c r="W1047" s="797"/>
      <c r="X1047" s="797"/>
      <c r="Y1047" s="797"/>
      <c r="Z1047" s="797"/>
      <c r="AA1047" s="797"/>
      <c r="AB1047" s="798"/>
      <c r="AC1047" s="740"/>
      <c r="AD1047" s="741"/>
      <c r="AE1047" s="741"/>
      <c r="AF1047" s="757"/>
      <c r="AG1047" s="740"/>
      <c r="AH1047" s="741"/>
      <c r="AI1047" s="741"/>
      <c r="AJ1047" s="757"/>
      <c r="AK1047" s="740"/>
      <c r="AL1047" s="741"/>
      <c r="AM1047" s="741"/>
      <c r="AN1047" s="757"/>
      <c r="AO1047" s="466"/>
      <c r="AP1047" s="467"/>
      <c r="AQ1047" s="467"/>
      <c r="AR1047" s="823"/>
    </row>
    <row r="1048" spans="3:44" ht="18" customHeight="1">
      <c r="C1048" s="758"/>
      <c r="D1048" s="759"/>
      <c r="E1048" s="760"/>
      <c r="F1048" s="796"/>
      <c r="G1048" s="797"/>
      <c r="H1048" s="797"/>
      <c r="I1048" s="797"/>
      <c r="J1048" s="797"/>
      <c r="K1048" s="797"/>
      <c r="L1048" s="797"/>
      <c r="M1048" s="797"/>
      <c r="N1048" s="797"/>
      <c r="O1048" s="797"/>
      <c r="P1048" s="797"/>
      <c r="Q1048" s="797"/>
      <c r="R1048" s="797"/>
      <c r="S1048" s="797"/>
      <c r="T1048" s="797"/>
      <c r="U1048" s="797"/>
      <c r="V1048" s="797"/>
      <c r="W1048" s="797"/>
      <c r="X1048" s="797"/>
      <c r="Y1048" s="797"/>
      <c r="Z1048" s="797"/>
      <c r="AA1048" s="797"/>
      <c r="AB1048" s="798"/>
      <c r="AC1048" s="740"/>
      <c r="AD1048" s="741"/>
      <c r="AE1048" s="741"/>
      <c r="AF1048" s="757"/>
      <c r="AG1048" s="740"/>
      <c r="AH1048" s="741"/>
      <c r="AI1048" s="741"/>
      <c r="AJ1048" s="757"/>
      <c r="AK1048" s="740"/>
      <c r="AL1048" s="741"/>
      <c r="AM1048" s="741"/>
      <c r="AN1048" s="757"/>
      <c r="AO1048" s="466"/>
      <c r="AP1048" s="467"/>
      <c r="AQ1048" s="467"/>
      <c r="AR1048" s="823"/>
    </row>
    <row r="1049" spans="3:44" ht="18" customHeight="1">
      <c r="C1049" s="758"/>
      <c r="D1049" s="759"/>
      <c r="E1049" s="760"/>
      <c r="F1049" s="796"/>
      <c r="G1049" s="797"/>
      <c r="H1049" s="797"/>
      <c r="I1049" s="797"/>
      <c r="J1049" s="797"/>
      <c r="K1049" s="797"/>
      <c r="L1049" s="797"/>
      <c r="M1049" s="797"/>
      <c r="N1049" s="797"/>
      <c r="O1049" s="797"/>
      <c r="P1049" s="797"/>
      <c r="Q1049" s="797"/>
      <c r="R1049" s="797"/>
      <c r="S1049" s="797"/>
      <c r="T1049" s="797"/>
      <c r="U1049" s="797"/>
      <c r="V1049" s="797"/>
      <c r="W1049" s="797"/>
      <c r="X1049" s="797"/>
      <c r="Y1049" s="797"/>
      <c r="Z1049" s="797"/>
      <c r="AA1049" s="797"/>
      <c r="AB1049" s="798"/>
      <c r="AC1049" s="740"/>
      <c r="AD1049" s="741"/>
      <c r="AE1049" s="741"/>
      <c r="AF1049" s="757"/>
      <c r="AG1049" s="740"/>
      <c r="AH1049" s="741"/>
      <c r="AI1049" s="741"/>
      <c r="AJ1049" s="757"/>
      <c r="AK1049" s="740"/>
      <c r="AL1049" s="741"/>
      <c r="AM1049" s="741"/>
      <c r="AN1049" s="757"/>
      <c r="AO1049" s="466"/>
      <c r="AP1049" s="467"/>
      <c r="AQ1049" s="467"/>
      <c r="AR1049" s="823"/>
    </row>
    <row r="1050" spans="3:44" ht="18" customHeight="1">
      <c r="C1050" s="758"/>
      <c r="D1050" s="759"/>
      <c r="E1050" s="760"/>
      <c r="F1050" s="796"/>
      <c r="G1050" s="797"/>
      <c r="H1050" s="797"/>
      <c r="I1050" s="797"/>
      <c r="J1050" s="797"/>
      <c r="K1050" s="797"/>
      <c r="L1050" s="797"/>
      <c r="M1050" s="797"/>
      <c r="N1050" s="797"/>
      <c r="O1050" s="797"/>
      <c r="P1050" s="797"/>
      <c r="Q1050" s="797"/>
      <c r="R1050" s="797"/>
      <c r="S1050" s="797"/>
      <c r="T1050" s="797"/>
      <c r="U1050" s="797"/>
      <c r="V1050" s="797"/>
      <c r="W1050" s="797"/>
      <c r="X1050" s="797"/>
      <c r="Y1050" s="797"/>
      <c r="Z1050" s="797"/>
      <c r="AA1050" s="797"/>
      <c r="AB1050" s="798"/>
      <c r="AC1050" s="740"/>
      <c r="AD1050" s="741"/>
      <c r="AE1050" s="741"/>
      <c r="AF1050" s="757"/>
      <c r="AG1050" s="740"/>
      <c r="AH1050" s="741"/>
      <c r="AI1050" s="741"/>
      <c r="AJ1050" s="757"/>
      <c r="AK1050" s="740"/>
      <c r="AL1050" s="741"/>
      <c r="AM1050" s="741"/>
      <c r="AN1050" s="757"/>
      <c r="AO1050" s="466"/>
      <c r="AP1050" s="467"/>
      <c r="AQ1050" s="467"/>
      <c r="AR1050" s="823"/>
    </row>
    <row r="1051" spans="3:44" ht="18" customHeight="1">
      <c r="C1051" s="814"/>
      <c r="D1051" s="815"/>
      <c r="E1051" s="815"/>
      <c r="F1051" s="815"/>
      <c r="G1051" s="815"/>
      <c r="H1051" s="815"/>
      <c r="I1051" s="815"/>
      <c r="J1051" s="815"/>
      <c r="K1051" s="815"/>
      <c r="L1051" s="815"/>
      <c r="M1051" s="815"/>
      <c r="N1051" s="815"/>
      <c r="O1051" s="815"/>
      <c r="P1051" s="815"/>
      <c r="Q1051" s="815"/>
      <c r="R1051" s="815"/>
      <c r="S1051" s="815"/>
      <c r="T1051" s="815"/>
      <c r="U1051" s="815"/>
      <c r="V1051" s="815"/>
      <c r="W1051" s="815"/>
      <c r="X1051" s="815"/>
      <c r="Y1051" s="816" t="s">
        <v>78</v>
      </c>
      <c r="Z1051" s="816"/>
      <c r="AA1051" s="816"/>
      <c r="AB1051" s="816"/>
      <c r="AC1051" s="816"/>
      <c r="AD1051" s="816"/>
      <c r="AE1051" s="816"/>
      <c r="AF1051" s="483"/>
      <c r="AG1051" s="817" t="s">
        <v>413</v>
      </c>
      <c r="AH1051" s="818"/>
      <c r="AI1051" s="818"/>
      <c r="AJ1051" s="819"/>
      <c r="AK1051" s="466">
        <f>SUM(AO1043:AR1050)</f>
        <v>68.95</v>
      </c>
      <c r="AL1051" s="467"/>
      <c r="AM1051" s="467"/>
      <c r="AN1051" s="468"/>
      <c r="AO1051" s="820">
        <f>ROUND(AG1051*AK1051,2)</f>
        <v>10.69</v>
      </c>
      <c r="AP1051" s="821"/>
      <c r="AQ1051" s="821"/>
      <c r="AR1051" s="822"/>
    </row>
    <row r="1052" spans="3:44" ht="18" customHeight="1">
      <c r="C1052" s="743"/>
      <c r="D1052" s="744"/>
      <c r="E1052" s="744"/>
      <c r="F1052" s="744"/>
      <c r="G1052" s="744"/>
      <c r="H1052" s="744"/>
      <c r="I1052" s="744"/>
      <c r="J1052" s="744"/>
      <c r="K1052" s="744"/>
      <c r="L1052" s="744"/>
      <c r="M1052" s="744"/>
      <c r="N1052" s="744"/>
      <c r="O1052" s="744"/>
      <c r="P1052" s="744"/>
      <c r="Q1052" s="744"/>
      <c r="R1052" s="744"/>
      <c r="S1052" s="744"/>
      <c r="T1052" s="744"/>
      <c r="U1052" s="744"/>
      <c r="V1052" s="744"/>
      <c r="W1052" s="744"/>
      <c r="X1052" s="744"/>
      <c r="Y1052" s="745" t="s">
        <v>79</v>
      </c>
      <c r="Z1052" s="745"/>
      <c r="AA1052" s="745"/>
      <c r="AB1052" s="745"/>
      <c r="AC1052" s="745"/>
      <c r="AD1052" s="745"/>
      <c r="AE1052" s="745"/>
      <c r="AF1052" s="745"/>
      <c r="AG1052" s="745"/>
      <c r="AH1052" s="745"/>
      <c r="AI1052" s="745"/>
      <c r="AJ1052" s="745"/>
      <c r="AK1052" s="745"/>
      <c r="AL1052" s="745"/>
      <c r="AM1052" s="745"/>
      <c r="AN1052" s="430"/>
      <c r="AO1052" s="477">
        <f>SUM(AO1043:AR1051)</f>
        <v>79.64</v>
      </c>
      <c r="AP1052" s="746"/>
      <c r="AQ1052" s="746"/>
      <c r="AR1052" s="747"/>
    </row>
    <row r="1054" spans="3:44" ht="18" customHeight="1">
      <c r="C1054" s="802"/>
      <c r="D1054" s="803"/>
      <c r="E1054" s="803"/>
      <c r="F1054" s="803"/>
      <c r="G1054" s="803"/>
      <c r="H1054" s="803"/>
      <c r="I1054" s="803"/>
      <c r="J1054" s="803"/>
      <c r="K1054" s="803"/>
      <c r="L1054" s="803"/>
      <c r="M1054" s="803"/>
      <c r="N1054" s="803"/>
      <c r="O1054" s="803"/>
      <c r="P1054" s="803"/>
      <c r="Q1054" s="803"/>
      <c r="R1054" s="803"/>
      <c r="S1054" s="803"/>
      <c r="T1054" s="803"/>
      <c r="U1054" s="803"/>
      <c r="V1054" s="803"/>
      <c r="W1054" s="803"/>
      <c r="X1054" s="803"/>
      <c r="Y1054" s="804" t="s">
        <v>80</v>
      </c>
      <c r="Z1054" s="805"/>
      <c r="AA1054" s="805"/>
      <c r="AB1054" s="805"/>
      <c r="AC1054" s="805"/>
      <c r="AD1054" s="805"/>
      <c r="AE1054" s="805"/>
      <c r="AF1054" s="805"/>
      <c r="AG1054" s="805"/>
      <c r="AH1054" s="805"/>
      <c r="AI1054" s="805"/>
      <c r="AJ1054" s="805"/>
      <c r="AK1054" s="805"/>
      <c r="AL1054" s="805"/>
      <c r="AM1054" s="805"/>
      <c r="AN1054" s="806"/>
      <c r="AO1054" s="807">
        <f>AO1039+AO1052</f>
        <v>88.13</v>
      </c>
      <c r="AP1054" s="808"/>
      <c r="AQ1054" s="808"/>
      <c r="AR1054" s="809"/>
    </row>
    <row r="1055" spans="3:44" ht="18" customHeight="1">
      <c r="C1055" s="810" t="s">
        <v>81</v>
      </c>
      <c r="D1055" s="745"/>
      <c r="E1055" s="745"/>
      <c r="F1055" s="745"/>
      <c r="G1055" s="745"/>
      <c r="H1055" s="745"/>
      <c r="I1055" s="745"/>
      <c r="J1055" s="745"/>
      <c r="K1055" s="745"/>
      <c r="L1055" s="745"/>
      <c r="M1055" s="745"/>
      <c r="N1055" s="745"/>
      <c r="O1055" s="745"/>
      <c r="P1055" s="430"/>
      <c r="Q1055" s="477">
        <v>1</v>
      </c>
      <c r="R1055" s="746"/>
      <c r="S1055" s="746"/>
      <c r="T1055" s="746"/>
      <c r="U1055" s="746"/>
      <c r="V1055" s="745" t="s">
        <v>194</v>
      </c>
      <c r="W1055" s="745"/>
      <c r="X1055" s="430"/>
      <c r="Y1055" s="804" t="s">
        <v>82</v>
      </c>
      <c r="Z1055" s="805"/>
      <c r="AA1055" s="805"/>
      <c r="AB1055" s="805"/>
      <c r="AC1055" s="805"/>
      <c r="AD1055" s="805"/>
      <c r="AE1055" s="805"/>
      <c r="AF1055" s="805"/>
      <c r="AG1055" s="805"/>
      <c r="AH1055" s="805"/>
      <c r="AI1055" s="805"/>
      <c r="AJ1055" s="805"/>
      <c r="AK1055" s="805"/>
      <c r="AL1055" s="805"/>
      <c r="AM1055" s="805"/>
      <c r="AN1055" s="806"/>
      <c r="AO1055" s="811">
        <f>ROUND(AO1054/Q1055,2)</f>
        <v>88.13</v>
      </c>
      <c r="AP1055" s="812"/>
      <c r="AQ1055" s="812"/>
      <c r="AR1055" s="813"/>
    </row>
    <row r="1057" spans="3:44" ht="18" customHeight="1">
      <c r="C1057" s="794" t="s">
        <v>43</v>
      </c>
      <c r="D1057" s="774"/>
      <c r="E1057" s="775"/>
      <c r="F1057" s="773" t="s">
        <v>83</v>
      </c>
      <c r="G1057" s="774"/>
      <c r="H1057" s="774"/>
      <c r="I1057" s="774"/>
      <c r="J1057" s="774"/>
      <c r="K1057" s="774"/>
      <c r="L1057" s="774"/>
      <c r="M1057" s="774"/>
      <c r="N1057" s="774"/>
      <c r="O1057" s="774"/>
      <c r="P1057" s="774"/>
      <c r="Q1057" s="774"/>
      <c r="R1057" s="774"/>
      <c r="S1057" s="774"/>
      <c r="T1057" s="774"/>
      <c r="U1057" s="774"/>
      <c r="V1057" s="774"/>
      <c r="W1057" s="774"/>
      <c r="X1057" s="774"/>
      <c r="Y1057" s="774"/>
      <c r="Z1057" s="774"/>
      <c r="AA1057" s="774"/>
      <c r="AB1057" s="775"/>
      <c r="AC1057" s="773" t="s">
        <v>84</v>
      </c>
      <c r="AD1057" s="774"/>
      <c r="AE1057" s="774"/>
      <c r="AF1057" s="775"/>
      <c r="AG1057" s="773" t="s">
        <v>85</v>
      </c>
      <c r="AH1057" s="774"/>
      <c r="AI1057" s="774"/>
      <c r="AJ1057" s="775"/>
      <c r="AK1057" s="773" t="s">
        <v>86</v>
      </c>
      <c r="AL1057" s="774"/>
      <c r="AM1057" s="774"/>
      <c r="AN1057" s="775"/>
      <c r="AO1057" s="773" t="s">
        <v>87</v>
      </c>
      <c r="AP1057" s="774"/>
      <c r="AQ1057" s="774"/>
      <c r="AR1057" s="779"/>
    </row>
    <row r="1058" spans="3:44" ht="18" customHeight="1">
      <c r="C1058" s="795"/>
      <c r="D1058" s="777"/>
      <c r="E1058" s="778"/>
      <c r="F1058" s="776"/>
      <c r="G1058" s="777"/>
      <c r="H1058" s="777"/>
      <c r="I1058" s="777"/>
      <c r="J1058" s="777"/>
      <c r="K1058" s="777"/>
      <c r="L1058" s="777"/>
      <c r="M1058" s="777"/>
      <c r="N1058" s="777"/>
      <c r="O1058" s="777"/>
      <c r="P1058" s="777"/>
      <c r="Q1058" s="777"/>
      <c r="R1058" s="777"/>
      <c r="S1058" s="777"/>
      <c r="T1058" s="777"/>
      <c r="U1058" s="777"/>
      <c r="V1058" s="777"/>
      <c r="W1058" s="777"/>
      <c r="X1058" s="777"/>
      <c r="Y1058" s="777"/>
      <c r="Z1058" s="777"/>
      <c r="AA1058" s="777"/>
      <c r="AB1058" s="778"/>
      <c r="AC1058" s="776"/>
      <c r="AD1058" s="777"/>
      <c r="AE1058" s="777"/>
      <c r="AF1058" s="778"/>
      <c r="AG1058" s="776"/>
      <c r="AH1058" s="777"/>
      <c r="AI1058" s="777"/>
      <c r="AJ1058" s="778"/>
      <c r="AK1058" s="776"/>
      <c r="AL1058" s="777"/>
      <c r="AM1058" s="777"/>
      <c r="AN1058" s="778"/>
      <c r="AO1058" s="776"/>
      <c r="AP1058" s="777"/>
      <c r="AQ1058" s="777"/>
      <c r="AR1058" s="780"/>
    </row>
    <row r="1059" spans="3:44" ht="18" customHeight="1">
      <c r="C1059" s="758" t="s">
        <v>1377</v>
      </c>
      <c r="D1059" s="759"/>
      <c r="E1059" s="760"/>
      <c r="F1059" s="796" t="s">
        <v>417</v>
      </c>
      <c r="G1059" s="797"/>
      <c r="H1059" s="797"/>
      <c r="I1059" s="797"/>
      <c r="J1059" s="797"/>
      <c r="K1059" s="797"/>
      <c r="L1059" s="797"/>
      <c r="M1059" s="797"/>
      <c r="N1059" s="797"/>
      <c r="O1059" s="797"/>
      <c r="P1059" s="797"/>
      <c r="Q1059" s="797"/>
      <c r="R1059" s="797"/>
      <c r="S1059" s="797"/>
      <c r="T1059" s="797"/>
      <c r="U1059" s="797"/>
      <c r="V1059" s="797"/>
      <c r="W1059" s="797"/>
      <c r="X1059" s="797"/>
      <c r="Y1059" s="797"/>
      <c r="Z1059" s="797"/>
      <c r="AA1059" s="797"/>
      <c r="AB1059" s="798"/>
      <c r="AC1059" s="799" t="s">
        <v>245</v>
      </c>
      <c r="AD1059" s="800"/>
      <c r="AE1059" s="800"/>
      <c r="AF1059" s="801"/>
      <c r="AG1059" s="466">
        <f>TRUNC(373.21/1.2031,2)</f>
        <v>310.2</v>
      </c>
      <c r="AH1059" s="467"/>
      <c r="AI1059" s="467"/>
      <c r="AJ1059" s="468"/>
      <c r="AK1059" s="737">
        <v>2</v>
      </c>
      <c r="AL1059" s="738"/>
      <c r="AM1059" s="738"/>
      <c r="AN1059" s="739"/>
      <c r="AO1059" s="740">
        <f>ROUND(AG1059*AK1059,2)</f>
        <v>620.4</v>
      </c>
      <c r="AP1059" s="741"/>
      <c r="AQ1059" s="741"/>
      <c r="AR1059" s="742"/>
    </row>
    <row r="1060" spans="3:44" ht="18" customHeight="1">
      <c r="C1060" s="758" t="s">
        <v>1376</v>
      </c>
      <c r="D1060" s="759"/>
      <c r="E1060" s="760"/>
      <c r="F1060" s="796" t="s">
        <v>370</v>
      </c>
      <c r="G1060" s="797"/>
      <c r="H1060" s="797"/>
      <c r="I1060" s="797"/>
      <c r="J1060" s="797"/>
      <c r="K1060" s="797"/>
      <c r="L1060" s="797"/>
      <c r="M1060" s="797"/>
      <c r="N1060" s="797"/>
      <c r="O1060" s="797"/>
      <c r="P1060" s="797"/>
      <c r="Q1060" s="797"/>
      <c r="R1060" s="797"/>
      <c r="S1060" s="797"/>
      <c r="T1060" s="797"/>
      <c r="U1060" s="797"/>
      <c r="V1060" s="797"/>
      <c r="W1060" s="797"/>
      <c r="X1060" s="797"/>
      <c r="Y1060" s="797"/>
      <c r="Z1060" s="797"/>
      <c r="AA1060" s="797"/>
      <c r="AB1060" s="798"/>
      <c r="AC1060" s="799" t="s">
        <v>309</v>
      </c>
      <c r="AD1060" s="800"/>
      <c r="AE1060" s="800"/>
      <c r="AF1060" s="801"/>
      <c r="AG1060" s="466">
        <f>TRUNC(43.8/1.2031,2)</f>
        <v>36.4</v>
      </c>
      <c r="AH1060" s="467"/>
      <c r="AI1060" s="467"/>
      <c r="AJ1060" s="468"/>
      <c r="AK1060" s="737">
        <v>7</v>
      </c>
      <c r="AL1060" s="738"/>
      <c r="AM1060" s="738"/>
      <c r="AN1060" s="739"/>
      <c r="AO1060" s="740">
        <f>ROUND(AG1060*AK1060,2)</f>
        <v>254.8</v>
      </c>
      <c r="AP1060" s="741"/>
      <c r="AQ1060" s="741"/>
      <c r="AR1060" s="742"/>
    </row>
    <row r="1061" spans="3:44" ht="18" customHeight="1">
      <c r="C1061" s="758"/>
      <c r="D1061" s="759"/>
      <c r="E1061" s="760"/>
      <c r="F1061" s="796"/>
      <c r="G1061" s="797"/>
      <c r="H1061" s="797"/>
      <c r="I1061" s="797"/>
      <c r="J1061" s="797"/>
      <c r="K1061" s="797"/>
      <c r="L1061" s="797"/>
      <c r="M1061" s="797"/>
      <c r="N1061" s="797"/>
      <c r="O1061" s="797"/>
      <c r="P1061" s="797"/>
      <c r="Q1061" s="797"/>
      <c r="R1061" s="797"/>
      <c r="S1061" s="797"/>
      <c r="T1061" s="797"/>
      <c r="U1061" s="797"/>
      <c r="V1061" s="797"/>
      <c r="W1061" s="797"/>
      <c r="X1061" s="797"/>
      <c r="Y1061" s="797"/>
      <c r="Z1061" s="797"/>
      <c r="AA1061" s="797"/>
      <c r="AB1061" s="798"/>
      <c r="AC1061" s="799"/>
      <c r="AD1061" s="800"/>
      <c r="AE1061" s="800"/>
      <c r="AF1061" s="801"/>
      <c r="AG1061" s="466"/>
      <c r="AH1061" s="467"/>
      <c r="AI1061" s="467"/>
      <c r="AJ1061" s="468"/>
      <c r="AK1061" s="737"/>
      <c r="AL1061" s="738"/>
      <c r="AM1061" s="738"/>
      <c r="AN1061" s="739"/>
      <c r="AO1061" s="740"/>
      <c r="AP1061" s="741"/>
      <c r="AQ1061" s="741"/>
      <c r="AR1061" s="742"/>
    </row>
    <row r="1062" spans="3:44" ht="18" customHeight="1">
      <c r="C1062" s="758"/>
      <c r="D1062" s="759"/>
      <c r="E1062" s="760"/>
      <c r="F1062" s="796"/>
      <c r="G1062" s="797"/>
      <c r="H1062" s="797"/>
      <c r="I1062" s="797"/>
      <c r="J1062" s="797"/>
      <c r="K1062" s="797"/>
      <c r="L1062" s="797"/>
      <c r="M1062" s="797"/>
      <c r="N1062" s="797"/>
      <c r="O1062" s="797"/>
      <c r="P1062" s="797"/>
      <c r="Q1062" s="797"/>
      <c r="R1062" s="797"/>
      <c r="S1062" s="797"/>
      <c r="T1062" s="797"/>
      <c r="U1062" s="797"/>
      <c r="V1062" s="797"/>
      <c r="W1062" s="797"/>
      <c r="X1062" s="797"/>
      <c r="Y1062" s="797"/>
      <c r="Z1062" s="797"/>
      <c r="AA1062" s="797"/>
      <c r="AB1062" s="798"/>
      <c r="AC1062" s="799"/>
      <c r="AD1062" s="800"/>
      <c r="AE1062" s="800"/>
      <c r="AF1062" s="801"/>
      <c r="AG1062" s="466"/>
      <c r="AH1062" s="467"/>
      <c r="AI1062" s="467"/>
      <c r="AJ1062" s="468"/>
      <c r="AK1062" s="737"/>
      <c r="AL1062" s="738"/>
      <c r="AM1062" s="738"/>
      <c r="AN1062" s="739"/>
      <c r="AO1062" s="740"/>
      <c r="AP1062" s="741"/>
      <c r="AQ1062" s="741"/>
      <c r="AR1062" s="742"/>
    </row>
    <row r="1063" spans="3:44" ht="18" customHeight="1">
      <c r="C1063" s="758"/>
      <c r="D1063" s="759"/>
      <c r="E1063" s="760"/>
      <c r="F1063" s="796"/>
      <c r="G1063" s="797"/>
      <c r="H1063" s="797"/>
      <c r="I1063" s="797"/>
      <c r="J1063" s="797"/>
      <c r="K1063" s="797"/>
      <c r="L1063" s="797"/>
      <c r="M1063" s="797"/>
      <c r="N1063" s="797"/>
      <c r="O1063" s="797"/>
      <c r="P1063" s="797"/>
      <c r="Q1063" s="797"/>
      <c r="R1063" s="797"/>
      <c r="S1063" s="797"/>
      <c r="T1063" s="797"/>
      <c r="U1063" s="797"/>
      <c r="V1063" s="797"/>
      <c r="W1063" s="797"/>
      <c r="X1063" s="797"/>
      <c r="Y1063" s="797"/>
      <c r="Z1063" s="797"/>
      <c r="AA1063" s="797"/>
      <c r="AB1063" s="798"/>
      <c r="AC1063" s="799"/>
      <c r="AD1063" s="800"/>
      <c r="AE1063" s="800"/>
      <c r="AF1063" s="801"/>
      <c r="AG1063" s="466"/>
      <c r="AH1063" s="467"/>
      <c r="AI1063" s="467"/>
      <c r="AJ1063" s="468"/>
      <c r="AK1063" s="737"/>
      <c r="AL1063" s="738"/>
      <c r="AM1063" s="738"/>
      <c r="AN1063" s="739"/>
      <c r="AO1063" s="740"/>
      <c r="AP1063" s="741"/>
      <c r="AQ1063" s="741"/>
      <c r="AR1063" s="742"/>
    </row>
    <row r="1064" spans="3:44" ht="18" customHeight="1">
      <c r="C1064" s="758"/>
      <c r="D1064" s="759"/>
      <c r="E1064" s="760"/>
      <c r="F1064" s="796"/>
      <c r="G1064" s="797"/>
      <c r="H1064" s="797"/>
      <c r="I1064" s="797"/>
      <c r="J1064" s="797"/>
      <c r="K1064" s="797"/>
      <c r="L1064" s="797"/>
      <c r="M1064" s="797"/>
      <c r="N1064" s="797"/>
      <c r="O1064" s="797"/>
      <c r="P1064" s="797"/>
      <c r="Q1064" s="797"/>
      <c r="R1064" s="797"/>
      <c r="S1064" s="797"/>
      <c r="T1064" s="797"/>
      <c r="U1064" s="797"/>
      <c r="V1064" s="797"/>
      <c r="W1064" s="797"/>
      <c r="X1064" s="797"/>
      <c r="Y1064" s="797"/>
      <c r="Z1064" s="797"/>
      <c r="AA1064" s="797"/>
      <c r="AB1064" s="798"/>
      <c r="AC1064" s="799"/>
      <c r="AD1064" s="800"/>
      <c r="AE1064" s="800"/>
      <c r="AF1064" s="801"/>
      <c r="AG1064" s="466"/>
      <c r="AH1064" s="467"/>
      <c r="AI1064" s="467"/>
      <c r="AJ1064" s="468"/>
      <c r="AK1064" s="737"/>
      <c r="AL1064" s="738"/>
      <c r="AM1064" s="738"/>
      <c r="AN1064" s="739"/>
      <c r="AO1064" s="740"/>
      <c r="AP1064" s="741"/>
      <c r="AQ1064" s="741"/>
      <c r="AR1064" s="742"/>
    </row>
    <row r="1065" spans="3:44" ht="18" customHeight="1">
      <c r="C1065" s="758"/>
      <c r="D1065" s="759"/>
      <c r="E1065" s="760"/>
      <c r="F1065" s="796"/>
      <c r="G1065" s="797"/>
      <c r="H1065" s="797"/>
      <c r="I1065" s="797"/>
      <c r="J1065" s="797"/>
      <c r="K1065" s="797"/>
      <c r="L1065" s="797"/>
      <c r="M1065" s="797"/>
      <c r="N1065" s="797"/>
      <c r="O1065" s="797"/>
      <c r="P1065" s="797"/>
      <c r="Q1065" s="797"/>
      <c r="R1065" s="797"/>
      <c r="S1065" s="797"/>
      <c r="T1065" s="797"/>
      <c r="U1065" s="797"/>
      <c r="V1065" s="797"/>
      <c r="W1065" s="797"/>
      <c r="X1065" s="797"/>
      <c r="Y1065" s="797"/>
      <c r="Z1065" s="797"/>
      <c r="AA1065" s="797"/>
      <c r="AB1065" s="798"/>
      <c r="AC1065" s="799"/>
      <c r="AD1065" s="800"/>
      <c r="AE1065" s="800"/>
      <c r="AF1065" s="801"/>
      <c r="AG1065" s="466"/>
      <c r="AH1065" s="467"/>
      <c r="AI1065" s="467"/>
      <c r="AJ1065" s="468"/>
      <c r="AK1065" s="737"/>
      <c r="AL1065" s="738"/>
      <c r="AM1065" s="738"/>
      <c r="AN1065" s="739"/>
      <c r="AO1065" s="740"/>
      <c r="AP1065" s="741"/>
      <c r="AQ1065" s="741"/>
      <c r="AR1065" s="742"/>
    </row>
    <row r="1066" spans="3:44" ht="18" customHeight="1">
      <c r="C1066" s="758"/>
      <c r="D1066" s="759"/>
      <c r="E1066" s="760"/>
      <c r="F1066" s="796"/>
      <c r="G1066" s="797"/>
      <c r="H1066" s="797"/>
      <c r="I1066" s="797"/>
      <c r="J1066" s="797"/>
      <c r="K1066" s="797"/>
      <c r="L1066" s="797"/>
      <c r="M1066" s="797"/>
      <c r="N1066" s="797"/>
      <c r="O1066" s="797"/>
      <c r="P1066" s="797"/>
      <c r="Q1066" s="797"/>
      <c r="R1066" s="797"/>
      <c r="S1066" s="797"/>
      <c r="T1066" s="797"/>
      <c r="U1066" s="797"/>
      <c r="V1066" s="797"/>
      <c r="W1066" s="797"/>
      <c r="X1066" s="797"/>
      <c r="Y1066" s="797"/>
      <c r="Z1066" s="797"/>
      <c r="AA1066" s="797"/>
      <c r="AB1066" s="798"/>
      <c r="AC1066" s="799"/>
      <c r="AD1066" s="800"/>
      <c r="AE1066" s="800"/>
      <c r="AF1066" s="801"/>
      <c r="AG1066" s="466"/>
      <c r="AH1066" s="467"/>
      <c r="AI1066" s="467"/>
      <c r="AJ1066" s="468"/>
      <c r="AK1066" s="737"/>
      <c r="AL1066" s="738"/>
      <c r="AM1066" s="738"/>
      <c r="AN1066" s="739"/>
      <c r="AO1066" s="740"/>
      <c r="AP1066" s="741"/>
      <c r="AQ1066" s="741"/>
      <c r="AR1066" s="742"/>
    </row>
    <row r="1067" spans="3:44" ht="18" customHeight="1">
      <c r="C1067" s="743"/>
      <c r="D1067" s="744"/>
      <c r="E1067" s="744"/>
      <c r="F1067" s="744"/>
      <c r="G1067" s="744"/>
      <c r="H1067" s="744"/>
      <c r="I1067" s="744"/>
      <c r="J1067" s="744"/>
      <c r="K1067" s="744"/>
      <c r="L1067" s="744"/>
      <c r="M1067" s="744"/>
      <c r="N1067" s="744"/>
      <c r="O1067" s="744"/>
      <c r="P1067" s="744"/>
      <c r="Q1067" s="744"/>
      <c r="R1067" s="744"/>
      <c r="S1067" s="744"/>
      <c r="T1067" s="744"/>
      <c r="U1067" s="744"/>
      <c r="V1067" s="744"/>
      <c r="W1067" s="744"/>
      <c r="X1067" s="744"/>
      <c r="Y1067" s="745" t="s">
        <v>88</v>
      </c>
      <c r="Z1067" s="745"/>
      <c r="AA1067" s="745"/>
      <c r="AB1067" s="745"/>
      <c r="AC1067" s="745"/>
      <c r="AD1067" s="745"/>
      <c r="AE1067" s="745"/>
      <c r="AF1067" s="745"/>
      <c r="AG1067" s="745"/>
      <c r="AH1067" s="745"/>
      <c r="AI1067" s="745"/>
      <c r="AJ1067" s="745"/>
      <c r="AK1067" s="745"/>
      <c r="AL1067" s="745"/>
      <c r="AM1067" s="745"/>
      <c r="AN1067" s="430"/>
      <c r="AO1067" s="477">
        <f>SUM(AO1059:AR1066)</f>
        <v>875.2</v>
      </c>
      <c r="AP1067" s="746"/>
      <c r="AQ1067" s="746"/>
      <c r="AR1067" s="747"/>
    </row>
    <row r="1069" spans="3:44" ht="18" customHeight="1">
      <c r="C1069" s="794" t="s">
        <v>43</v>
      </c>
      <c r="D1069" s="774"/>
      <c r="E1069" s="775"/>
      <c r="F1069" s="773" t="s">
        <v>89</v>
      </c>
      <c r="G1069" s="774"/>
      <c r="H1069" s="774"/>
      <c r="I1069" s="774"/>
      <c r="J1069" s="774"/>
      <c r="K1069" s="774"/>
      <c r="L1069" s="774"/>
      <c r="M1069" s="774"/>
      <c r="N1069" s="774"/>
      <c r="O1069" s="774"/>
      <c r="P1069" s="774"/>
      <c r="Q1069" s="774"/>
      <c r="R1069" s="775"/>
      <c r="S1069" s="773" t="s">
        <v>90</v>
      </c>
      <c r="T1069" s="774"/>
      <c r="U1069" s="775"/>
      <c r="V1069" s="773" t="s">
        <v>91</v>
      </c>
      <c r="W1069" s="774"/>
      <c r="X1069" s="775"/>
      <c r="Y1069" s="773" t="s">
        <v>92</v>
      </c>
      <c r="Z1069" s="774"/>
      <c r="AA1069" s="774"/>
      <c r="AB1069" s="774"/>
      <c r="AC1069" s="774"/>
      <c r="AD1069" s="775"/>
      <c r="AE1069" s="773" t="s">
        <v>93</v>
      </c>
      <c r="AF1069" s="774"/>
      <c r="AG1069" s="775"/>
      <c r="AH1069" s="773" t="s">
        <v>94</v>
      </c>
      <c r="AI1069" s="774"/>
      <c r="AJ1069" s="775"/>
      <c r="AK1069" s="773" t="s">
        <v>86</v>
      </c>
      <c r="AL1069" s="774"/>
      <c r="AM1069" s="774"/>
      <c r="AN1069" s="775"/>
      <c r="AO1069" s="773" t="s">
        <v>87</v>
      </c>
      <c r="AP1069" s="774"/>
      <c r="AQ1069" s="774"/>
      <c r="AR1069" s="779"/>
    </row>
    <row r="1070" spans="3:44" ht="18" customHeight="1">
      <c r="C1070" s="795"/>
      <c r="D1070" s="777"/>
      <c r="E1070" s="778"/>
      <c r="F1070" s="776"/>
      <c r="G1070" s="777"/>
      <c r="H1070" s="777"/>
      <c r="I1070" s="777"/>
      <c r="J1070" s="777"/>
      <c r="K1070" s="777"/>
      <c r="L1070" s="777"/>
      <c r="M1070" s="777"/>
      <c r="N1070" s="777"/>
      <c r="O1070" s="777"/>
      <c r="P1070" s="777"/>
      <c r="Q1070" s="777"/>
      <c r="R1070" s="778"/>
      <c r="S1070" s="776"/>
      <c r="T1070" s="777"/>
      <c r="U1070" s="778"/>
      <c r="V1070" s="776"/>
      <c r="W1070" s="777"/>
      <c r="X1070" s="778"/>
      <c r="Y1070" s="776"/>
      <c r="Z1070" s="777"/>
      <c r="AA1070" s="777"/>
      <c r="AB1070" s="777"/>
      <c r="AC1070" s="777"/>
      <c r="AD1070" s="778"/>
      <c r="AE1070" s="776"/>
      <c r="AF1070" s="777"/>
      <c r="AG1070" s="778"/>
      <c r="AH1070" s="776"/>
      <c r="AI1070" s="777"/>
      <c r="AJ1070" s="778"/>
      <c r="AK1070" s="776"/>
      <c r="AL1070" s="777"/>
      <c r="AM1070" s="777"/>
      <c r="AN1070" s="778"/>
      <c r="AO1070" s="776"/>
      <c r="AP1070" s="777"/>
      <c r="AQ1070" s="777"/>
      <c r="AR1070" s="780"/>
    </row>
    <row r="1071" spans="3:44" ht="18" customHeight="1">
      <c r="C1071" s="781"/>
      <c r="D1071" s="782"/>
      <c r="E1071" s="783"/>
      <c r="F1071" s="457"/>
      <c r="G1071" s="457"/>
      <c r="H1071" s="457"/>
      <c r="I1071" s="457"/>
      <c r="J1071" s="457"/>
      <c r="K1071" s="457"/>
      <c r="L1071" s="457"/>
      <c r="M1071" s="457"/>
      <c r="N1071" s="457"/>
      <c r="O1071" s="457"/>
      <c r="P1071" s="457"/>
      <c r="Q1071" s="457"/>
      <c r="R1071" s="457"/>
      <c r="S1071" s="784"/>
      <c r="T1071" s="785"/>
      <c r="U1071" s="786"/>
      <c r="V1071" s="784"/>
      <c r="W1071" s="785"/>
      <c r="X1071" s="786"/>
      <c r="Y1071" s="787"/>
      <c r="Z1071" s="788"/>
      <c r="AA1071" s="788"/>
      <c r="AB1071" s="788"/>
      <c r="AC1071" s="788"/>
      <c r="AD1071" s="789"/>
      <c r="AE1071" s="449"/>
      <c r="AF1071" s="449"/>
      <c r="AG1071" s="449"/>
      <c r="AH1071" s="770"/>
      <c r="AI1071" s="771"/>
      <c r="AJ1071" s="790"/>
      <c r="AK1071" s="791"/>
      <c r="AL1071" s="792"/>
      <c r="AM1071" s="792"/>
      <c r="AN1071" s="793"/>
      <c r="AO1071" s="770"/>
      <c r="AP1071" s="771"/>
      <c r="AQ1071" s="771"/>
      <c r="AR1071" s="772"/>
    </row>
    <row r="1072" spans="3:44" ht="18" customHeight="1">
      <c r="C1072" s="758"/>
      <c r="D1072" s="759"/>
      <c r="E1072" s="760"/>
      <c r="F1072" s="761"/>
      <c r="G1072" s="762"/>
      <c r="H1072" s="762"/>
      <c r="I1072" s="762"/>
      <c r="J1072" s="762"/>
      <c r="K1072" s="762"/>
      <c r="L1072" s="762"/>
      <c r="M1072" s="762"/>
      <c r="N1072" s="762"/>
      <c r="O1072" s="762"/>
      <c r="P1072" s="762"/>
      <c r="Q1072" s="762"/>
      <c r="R1072" s="763"/>
      <c r="S1072" s="764"/>
      <c r="T1072" s="765"/>
      <c r="U1072" s="766"/>
      <c r="V1072" s="764"/>
      <c r="W1072" s="765"/>
      <c r="X1072" s="766"/>
      <c r="Y1072" s="767"/>
      <c r="Z1072" s="768"/>
      <c r="AA1072" s="768"/>
      <c r="AB1072" s="768"/>
      <c r="AC1072" s="768"/>
      <c r="AD1072" s="769"/>
      <c r="AE1072" s="740"/>
      <c r="AF1072" s="741"/>
      <c r="AG1072" s="757"/>
      <c r="AH1072" s="740"/>
      <c r="AI1072" s="741"/>
      <c r="AJ1072" s="757"/>
      <c r="AK1072" s="737"/>
      <c r="AL1072" s="738"/>
      <c r="AM1072" s="738"/>
      <c r="AN1072" s="739"/>
      <c r="AO1072" s="740">
        <f t="shared" ref="AO1072:AO1078" si="15">ROUND(AE1072*AH1072*AK1072,2)</f>
        <v>0</v>
      </c>
      <c r="AP1072" s="741"/>
      <c r="AQ1072" s="741"/>
      <c r="AR1072" s="742"/>
    </row>
    <row r="1073" spans="1:44" ht="18" customHeight="1">
      <c r="C1073" s="758"/>
      <c r="D1073" s="759"/>
      <c r="E1073" s="760"/>
      <c r="F1073" s="761"/>
      <c r="G1073" s="762"/>
      <c r="H1073" s="762"/>
      <c r="I1073" s="762"/>
      <c r="J1073" s="762"/>
      <c r="K1073" s="762"/>
      <c r="L1073" s="762"/>
      <c r="M1073" s="762"/>
      <c r="N1073" s="762"/>
      <c r="O1073" s="762"/>
      <c r="P1073" s="762"/>
      <c r="Q1073" s="762"/>
      <c r="R1073" s="763"/>
      <c r="S1073" s="764"/>
      <c r="T1073" s="765"/>
      <c r="U1073" s="766"/>
      <c r="V1073" s="764"/>
      <c r="W1073" s="765"/>
      <c r="X1073" s="766"/>
      <c r="Y1073" s="767"/>
      <c r="Z1073" s="768"/>
      <c r="AA1073" s="768"/>
      <c r="AB1073" s="768"/>
      <c r="AC1073" s="768"/>
      <c r="AD1073" s="769"/>
      <c r="AE1073" s="740"/>
      <c r="AF1073" s="741"/>
      <c r="AG1073" s="757"/>
      <c r="AH1073" s="740"/>
      <c r="AI1073" s="741"/>
      <c r="AJ1073" s="757"/>
      <c r="AK1073" s="737"/>
      <c r="AL1073" s="738"/>
      <c r="AM1073" s="738"/>
      <c r="AN1073" s="739"/>
      <c r="AO1073" s="740">
        <f t="shared" si="15"/>
        <v>0</v>
      </c>
      <c r="AP1073" s="741"/>
      <c r="AQ1073" s="741"/>
      <c r="AR1073" s="742"/>
    </row>
    <row r="1074" spans="1:44" ht="18" customHeight="1">
      <c r="C1074" s="758"/>
      <c r="D1074" s="759"/>
      <c r="E1074" s="760"/>
      <c r="F1074" s="761"/>
      <c r="G1074" s="762"/>
      <c r="H1074" s="762"/>
      <c r="I1074" s="762"/>
      <c r="J1074" s="762"/>
      <c r="K1074" s="762"/>
      <c r="L1074" s="762"/>
      <c r="M1074" s="762"/>
      <c r="N1074" s="762"/>
      <c r="O1074" s="762"/>
      <c r="P1074" s="762"/>
      <c r="Q1074" s="762"/>
      <c r="R1074" s="763"/>
      <c r="S1074" s="764"/>
      <c r="T1074" s="765"/>
      <c r="U1074" s="766"/>
      <c r="V1074" s="764"/>
      <c r="W1074" s="765"/>
      <c r="X1074" s="766"/>
      <c r="Y1074" s="767"/>
      <c r="Z1074" s="768"/>
      <c r="AA1074" s="768"/>
      <c r="AB1074" s="768"/>
      <c r="AC1074" s="768"/>
      <c r="AD1074" s="769"/>
      <c r="AE1074" s="740"/>
      <c r="AF1074" s="741"/>
      <c r="AG1074" s="757"/>
      <c r="AH1074" s="740"/>
      <c r="AI1074" s="741"/>
      <c r="AJ1074" s="757"/>
      <c r="AK1074" s="737"/>
      <c r="AL1074" s="738"/>
      <c r="AM1074" s="738"/>
      <c r="AN1074" s="739"/>
      <c r="AO1074" s="740">
        <f t="shared" si="15"/>
        <v>0</v>
      </c>
      <c r="AP1074" s="741"/>
      <c r="AQ1074" s="741"/>
      <c r="AR1074" s="742"/>
    </row>
    <row r="1075" spans="1:44" ht="18" customHeight="1">
      <c r="C1075" s="758"/>
      <c r="D1075" s="759"/>
      <c r="E1075" s="760"/>
      <c r="F1075" s="761"/>
      <c r="G1075" s="762"/>
      <c r="H1075" s="762"/>
      <c r="I1075" s="762"/>
      <c r="J1075" s="762"/>
      <c r="K1075" s="762"/>
      <c r="L1075" s="762"/>
      <c r="M1075" s="762"/>
      <c r="N1075" s="762"/>
      <c r="O1075" s="762"/>
      <c r="P1075" s="762"/>
      <c r="Q1075" s="762"/>
      <c r="R1075" s="763"/>
      <c r="S1075" s="764"/>
      <c r="T1075" s="765"/>
      <c r="U1075" s="766"/>
      <c r="V1075" s="764"/>
      <c r="W1075" s="765"/>
      <c r="X1075" s="766"/>
      <c r="Y1075" s="767"/>
      <c r="Z1075" s="768"/>
      <c r="AA1075" s="768"/>
      <c r="AB1075" s="768"/>
      <c r="AC1075" s="768"/>
      <c r="AD1075" s="769"/>
      <c r="AE1075" s="740"/>
      <c r="AF1075" s="741"/>
      <c r="AG1075" s="757"/>
      <c r="AH1075" s="740"/>
      <c r="AI1075" s="741"/>
      <c r="AJ1075" s="757"/>
      <c r="AK1075" s="737"/>
      <c r="AL1075" s="738"/>
      <c r="AM1075" s="738"/>
      <c r="AN1075" s="739"/>
      <c r="AO1075" s="740">
        <f t="shared" si="15"/>
        <v>0</v>
      </c>
      <c r="AP1075" s="741"/>
      <c r="AQ1075" s="741"/>
      <c r="AR1075" s="742"/>
    </row>
    <row r="1076" spans="1:44" ht="18" customHeight="1">
      <c r="C1076" s="758"/>
      <c r="D1076" s="759"/>
      <c r="E1076" s="760"/>
      <c r="F1076" s="761"/>
      <c r="G1076" s="762"/>
      <c r="H1076" s="762"/>
      <c r="I1076" s="762"/>
      <c r="J1076" s="762"/>
      <c r="K1076" s="762"/>
      <c r="L1076" s="762"/>
      <c r="M1076" s="762"/>
      <c r="N1076" s="762"/>
      <c r="O1076" s="762"/>
      <c r="P1076" s="762"/>
      <c r="Q1076" s="762"/>
      <c r="R1076" s="763"/>
      <c r="S1076" s="764"/>
      <c r="T1076" s="765"/>
      <c r="U1076" s="766"/>
      <c r="V1076" s="764"/>
      <c r="W1076" s="765"/>
      <c r="X1076" s="766"/>
      <c r="Y1076" s="767"/>
      <c r="Z1076" s="768"/>
      <c r="AA1076" s="768"/>
      <c r="AB1076" s="768"/>
      <c r="AC1076" s="768"/>
      <c r="AD1076" s="769"/>
      <c r="AE1076" s="740"/>
      <c r="AF1076" s="741"/>
      <c r="AG1076" s="757"/>
      <c r="AH1076" s="740"/>
      <c r="AI1076" s="741"/>
      <c r="AJ1076" s="757"/>
      <c r="AK1076" s="737"/>
      <c r="AL1076" s="738"/>
      <c r="AM1076" s="738"/>
      <c r="AN1076" s="739"/>
      <c r="AO1076" s="740">
        <f t="shared" si="15"/>
        <v>0</v>
      </c>
      <c r="AP1076" s="741"/>
      <c r="AQ1076" s="741"/>
      <c r="AR1076" s="742"/>
    </row>
    <row r="1077" spans="1:44" ht="18" customHeight="1">
      <c r="C1077" s="758"/>
      <c r="D1077" s="759"/>
      <c r="E1077" s="760"/>
      <c r="F1077" s="761"/>
      <c r="G1077" s="762"/>
      <c r="H1077" s="762"/>
      <c r="I1077" s="762"/>
      <c r="J1077" s="762"/>
      <c r="K1077" s="762"/>
      <c r="L1077" s="762"/>
      <c r="M1077" s="762"/>
      <c r="N1077" s="762"/>
      <c r="O1077" s="762"/>
      <c r="P1077" s="762"/>
      <c r="Q1077" s="762"/>
      <c r="R1077" s="763"/>
      <c r="S1077" s="764"/>
      <c r="T1077" s="765"/>
      <c r="U1077" s="766"/>
      <c r="V1077" s="764"/>
      <c r="W1077" s="765"/>
      <c r="X1077" s="766"/>
      <c r="Y1077" s="767"/>
      <c r="Z1077" s="768"/>
      <c r="AA1077" s="768"/>
      <c r="AB1077" s="768"/>
      <c r="AC1077" s="768"/>
      <c r="AD1077" s="769"/>
      <c r="AE1077" s="740"/>
      <c r="AF1077" s="741"/>
      <c r="AG1077" s="757"/>
      <c r="AH1077" s="740"/>
      <c r="AI1077" s="741"/>
      <c r="AJ1077" s="757"/>
      <c r="AK1077" s="737"/>
      <c r="AL1077" s="738"/>
      <c r="AM1077" s="738"/>
      <c r="AN1077" s="739"/>
      <c r="AO1077" s="740">
        <f t="shared" si="15"/>
        <v>0</v>
      </c>
      <c r="AP1077" s="741"/>
      <c r="AQ1077" s="741"/>
      <c r="AR1077" s="742"/>
    </row>
    <row r="1078" spans="1:44" ht="18" customHeight="1">
      <c r="C1078" s="758"/>
      <c r="D1078" s="759"/>
      <c r="E1078" s="760"/>
      <c r="F1078" s="761"/>
      <c r="G1078" s="762"/>
      <c r="H1078" s="762"/>
      <c r="I1078" s="762"/>
      <c r="J1078" s="762"/>
      <c r="K1078" s="762"/>
      <c r="L1078" s="762"/>
      <c r="M1078" s="762"/>
      <c r="N1078" s="762"/>
      <c r="O1078" s="762"/>
      <c r="P1078" s="762"/>
      <c r="Q1078" s="762"/>
      <c r="R1078" s="763"/>
      <c r="S1078" s="764"/>
      <c r="T1078" s="765"/>
      <c r="U1078" s="766"/>
      <c r="V1078" s="764"/>
      <c r="W1078" s="765"/>
      <c r="X1078" s="766"/>
      <c r="Y1078" s="767"/>
      <c r="Z1078" s="768"/>
      <c r="AA1078" s="768"/>
      <c r="AB1078" s="768"/>
      <c r="AC1078" s="768"/>
      <c r="AD1078" s="769"/>
      <c r="AE1078" s="740"/>
      <c r="AF1078" s="741"/>
      <c r="AG1078" s="757"/>
      <c r="AH1078" s="740"/>
      <c r="AI1078" s="741"/>
      <c r="AJ1078" s="757"/>
      <c r="AK1078" s="737"/>
      <c r="AL1078" s="738"/>
      <c r="AM1078" s="738"/>
      <c r="AN1078" s="739"/>
      <c r="AO1078" s="740">
        <f t="shared" si="15"/>
        <v>0</v>
      </c>
      <c r="AP1078" s="741"/>
      <c r="AQ1078" s="741"/>
      <c r="AR1078" s="742"/>
    </row>
    <row r="1079" spans="1:44" ht="18" customHeight="1">
      <c r="C1079" s="743"/>
      <c r="D1079" s="744"/>
      <c r="E1079" s="744"/>
      <c r="F1079" s="744"/>
      <c r="G1079" s="744"/>
      <c r="H1079" s="744"/>
      <c r="I1079" s="744"/>
      <c r="J1079" s="744"/>
      <c r="K1079" s="744"/>
      <c r="L1079" s="744"/>
      <c r="M1079" s="744"/>
      <c r="N1079" s="744"/>
      <c r="O1079" s="744"/>
      <c r="P1079" s="744"/>
      <c r="Q1079" s="744"/>
      <c r="R1079" s="744"/>
      <c r="S1079" s="744"/>
      <c r="T1079" s="744"/>
      <c r="U1079" s="744"/>
      <c r="V1079" s="744"/>
      <c r="W1079" s="744"/>
      <c r="X1079" s="744"/>
      <c r="Y1079" s="745" t="s">
        <v>95</v>
      </c>
      <c r="Z1079" s="745"/>
      <c r="AA1079" s="745"/>
      <c r="AB1079" s="745"/>
      <c r="AC1079" s="745"/>
      <c r="AD1079" s="745"/>
      <c r="AE1079" s="745"/>
      <c r="AF1079" s="745"/>
      <c r="AG1079" s="745"/>
      <c r="AH1079" s="745"/>
      <c r="AI1079" s="745"/>
      <c r="AJ1079" s="745"/>
      <c r="AK1079" s="745"/>
      <c r="AL1079" s="745"/>
      <c r="AM1079" s="745"/>
      <c r="AN1079" s="430"/>
      <c r="AO1079" s="477">
        <f>SUM(AO1071:AR1078)</f>
        <v>0</v>
      </c>
      <c r="AP1079" s="746"/>
      <c r="AQ1079" s="746"/>
      <c r="AR1079" s="747"/>
    </row>
    <row r="1081" spans="1:44" ht="18" customHeight="1">
      <c r="C1081" s="434"/>
      <c r="D1081" s="434"/>
      <c r="E1081" s="434"/>
      <c r="F1081" s="434"/>
      <c r="G1081" s="434"/>
      <c r="H1081" s="434"/>
      <c r="I1081" s="434"/>
      <c r="J1081" s="434"/>
      <c r="K1081" s="434"/>
      <c r="L1081" s="434"/>
      <c r="M1081" s="434"/>
      <c r="N1081" s="434"/>
      <c r="O1081" s="434"/>
      <c r="P1081" s="434"/>
      <c r="Q1081" s="434"/>
      <c r="R1081" s="434"/>
      <c r="S1081" s="434"/>
      <c r="T1081" s="434"/>
      <c r="U1081" s="434"/>
      <c r="V1081" s="434"/>
      <c r="W1081" s="434"/>
      <c r="X1081" s="748"/>
      <c r="Y1081" s="749" t="s">
        <v>96</v>
      </c>
      <c r="Z1081" s="750"/>
      <c r="AA1081" s="750"/>
      <c r="AB1081" s="750"/>
      <c r="AC1081" s="750"/>
      <c r="AD1081" s="750"/>
      <c r="AE1081" s="750"/>
      <c r="AF1081" s="750"/>
      <c r="AG1081" s="750"/>
      <c r="AH1081" s="750"/>
      <c r="AI1081" s="750"/>
      <c r="AJ1081" s="750"/>
      <c r="AK1081" s="750"/>
      <c r="AL1081" s="750"/>
      <c r="AM1081" s="750"/>
      <c r="AN1081" s="751"/>
      <c r="AO1081" s="752">
        <f>AO1055+AO1067+AO1079</f>
        <v>963.33</v>
      </c>
      <c r="AP1081" s="753"/>
      <c r="AQ1081" s="753"/>
      <c r="AR1081" s="754"/>
    </row>
    <row r="1082" spans="1:44" ht="18" customHeight="1">
      <c r="C1082" s="434"/>
      <c r="D1082" s="434"/>
      <c r="E1082" s="434"/>
      <c r="F1082" s="434"/>
      <c r="G1082" s="434"/>
      <c r="H1082" s="434"/>
      <c r="I1082" s="434"/>
      <c r="J1082" s="434"/>
      <c r="K1082" s="434"/>
      <c r="L1082" s="434"/>
      <c r="M1082" s="434"/>
      <c r="N1082" s="434"/>
      <c r="O1082" s="434"/>
      <c r="P1082" s="434"/>
      <c r="Q1082" s="434"/>
      <c r="R1082" s="434"/>
      <c r="S1082" s="434"/>
      <c r="T1082" s="434"/>
      <c r="U1082" s="434"/>
      <c r="V1082" s="434"/>
      <c r="W1082" s="434"/>
      <c r="X1082" s="748"/>
      <c r="Y1082" s="755" t="s">
        <v>97</v>
      </c>
      <c r="Z1082" s="756"/>
      <c r="AA1082" s="756"/>
      <c r="AB1082" s="756"/>
      <c r="AC1082" s="756"/>
      <c r="AD1082" s="756"/>
      <c r="AE1082" s="756"/>
      <c r="AF1082" s="756"/>
      <c r="AG1082" s="756"/>
      <c r="AH1082" s="442">
        <v>0.2031</v>
      </c>
      <c r="AI1082" s="442"/>
      <c r="AJ1082" s="442"/>
      <c r="AK1082" s="442"/>
      <c r="AL1082" s="442"/>
      <c r="AM1082" s="442"/>
      <c r="AN1082" s="443"/>
      <c r="AO1082" s="728">
        <f>ROUND(AO1081*AH1082,2)</f>
        <v>195.65</v>
      </c>
      <c r="AP1082" s="729"/>
      <c r="AQ1082" s="729"/>
      <c r="AR1082" s="730"/>
    </row>
    <row r="1083" spans="1:44" ht="18" customHeight="1">
      <c r="A1083" s="415" t="s">
        <v>872</v>
      </c>
      <c r="B1083" s="415"/>
      <c r="C1083" s="434"/>
      <c r="D1083" s="434"/>
      <c r="E1083" s="434"/>
      <c r="F1083" s="434"/>
      <c r="G1083" s="434"/>
      <c r="H1083" s="434"/>
      <c r="I1083" s="434"/>
      <c r="J1083" s="434"/>
      <c r="K1083" s="434"/>
      <c r="L1083" s="434"/>
      <c r="M1083" s="434"/>
      <c r="N1083" s="434"/>
      <c r="O1083" s="434"/>
      <c r="P1083" s="434"/>
      <c r="Q1083" s="434"/>
      <c r="R1083" s="434"/>
      <c r="S1083" s="434"/>
      <c r="T1083" s="434"/>
      <c r="U1083" s="434"/>
      <c r="V1083" s="434"/>
      <c r="W1083" s="434"/>
      <c r="X1083" s="748"/>
      <c r="Y1083" s="731" t="s">
        <v>98</v>
      </c>
      <c r="Z1083" s="732"/>
      <c r="AA1083" s="732"/>
      <c r="AB1083" s="732"/>
      <c r="AC1083" s="732"/>
      <c r="AD1083" s="732"/>
      <c r="AE1083" s="732"/>
      <c r="AF1083" s="732"/>
      <c r="AG1083" s="732"/>
      <c r="AH1083" s="732"/>
      <c r="AI1083" s="732"/>
      <c r="AJ1083" s="732"/>
      <c r="AK1083" s="732"/>
      <c r="AL1083" s="732"/>
      <c r="AM1083" s="732"/>
      <c r="AN1083" s="733"/>
      <c r="AO1083" s="734">
        <f>SUM(AO1081:AR1082)</f>
        <v>1158.98</v>
      </c>
      <c r="AP1083" s="735"/>
      <c r="AQ1083" s="735"/>
      <c r="AR1083" s="736"/>
    </row>
    <row r="1085" spans="1:44" ht="18" customHeight="1">
      <c r="C1085" s="420" t="s">
        <v>99</v>
      </c>
      <c r="D1085" s="421"/>
      <c r="E1085" s="421"/>
      <c r="F1085" s="421"/>
      <c r="G1085" s="421"/>
      <c r="H1085" s="421"/>
      <c r="I1085" s="422"/>
      <c r="J1085" s="422"/>
      <c r="K1085" s="422"/>
      <c r="L1085" s="422"/>
      <c r="M1085" s="422"/>
      <c r="N1085" s="422"/>
      <c r="O1085" s="422"/>
      <c r="P1085" s="422"/>
      <c r="Q1085" s="422"/>
      <c r="R1085" s="422"/>
      <c r="S1085" s="422"/>
      <c r="T1085" s="422"/>
      <c r="U1085" s="422"/>
      <c r="V1085" s="422"/>
      <c r="W1085" s="422"/>
      <c r="X1085" s="422"/>
      <c r="Y1085" s="422"/>
      <c r="Z1085" s="422"/>
      <c r="AA1085" s="422"/>
      <c r="AB1085" s="422"/>
      <c r="AC1085" s="422"/>
      <c r="AD1085" s="422"/>
      <c r="AE1085" s="422"/>
      <c r="AF1085" s="422"/>
      <c r="AG1085" s="422"/>
      <c r="AH1085" s="422"/>
      <c r="AI1085" s="422"/>
      <c r="AJ1085" s="422"/>
      <c r="AK1085" s="422"/>
      <c r="AL1085" s="422"/>
      <c r="AM1085" s="422"/>
      <c r="AN1085" s="422"/>
      <c r="AO1085" s="422"/>
      <c r="AP1085" s="422"/>
      <c r="AQ1085" s="422"/>
      <c r="AR1085" s="423"/>
    </row>
    <row r="1086" spans="1:44" ht="18" customHeight="1">
      <c r="C1086" s="411"/>
      <c r="D1086" s="412"/>
      <c r="E1086" s="412"/>
      <c r="F1086" s="412"/>
      <c r="G1086" s="412"/>
      <c r="H1086" s="412"/>
      <c r="I1086" s="409"/>
      <c r="J1086" s="409"/>
      <c r="K1086" s="409"/>
      <c r="L1086" s="409"/>
      <c r="M1086" s="409"/>
      <c r="N1086" s="409"/>
      <c r="O1086" s="409"/>
      <c r="P1086" s="409"/>
      <c r="Q1086" s="409"/>
      <c r="R1086" s="409"/>
      <c r="S1086" s="409"/>
      <c r="T1086" s="409"/>
      <c r="U1086" s="409"/>
      <c r="V1086" s="409"/>
      <c r="W1086" s="409"/>
      <c r="X1086" s="409"/>
      <c r="Y1086" s="409"/>
      <c r="Z1086" s="409"/>
      <c r="AA1086" s="409"/>
      <c r="AB1086" s="409"/>
      <c r="AC1086" s="409"/>
      <c r="AD1086" s="409"/>
      <c r="AE1086" s="409"/>
      <c r="AF1086" s="409"/>
      <c r="AG1086" s="409"/>
      <c r="AH1086" s="409"/>
      <c r="AI1086" s="409"/>
      <c r="AJ1086" s="409"/>
      <c r="AK1086" s="409"/>
      <c r="AL1086" s="409"/>
      <c r="AM1086" s="409"/>
      <c r="AN1086" s="409"/>
      <c r="AO1086" s="409"/>
      <c r="AP1086" s="409"/>
      <c r="AQ1086" s="409"/>
      <c r="AR1086" s="410"/>
    </row>
    <row r="1087" spans="1:44" ht="18" customHeight="1">
      <c r="C1087" s="411"/>
      <c r="D1087" s="412"/>
      <c r="E1087" s="412"/>
      <c r="F1087" s="412"/>
      <c r="G1087" s="412"/>
      <c r="H1087" s="412"/>
      <c r="I1087" s="409"/>
      <c r="J1087" s="409"/>
      <c r="K1087" s="409"/>
      <c r="L1087" s="409"/>
      <c r="M1087" s="409"/>
      <c r="N1087" s="409"/>
      <c r="O1087" s="409"/>
      <c r="P1087" s="409"/>
      <c r="Q1087" s="409"/>
      <c r="R1087" s="409"/>
      <c r="S1087" s="409"/>
      <c r="T1087" s="409"/>
      <c r="U1087" s="409"/>
      <c r="V1087" s="409"/>
      <c r="W1087" s="409"/>
      <c r="X1087" s="409"/>
      <c r="Y1087" s="409"/>
      <c r="Z1087" s="409"/>
      <c r="AA1087" s="409"/>
      <c r="AB1087" s="409"/>
      <c r="AC1087" s="409"/>
      <c r="AD1087" s="409"/>
      <c r="AE1087" s="409"/>
      <c r="AF1087" s="409"/>
      <c r="AG1087" s="409"/>
      <c r="AH1087" s="409"/>
      <c r="AI1087" s="409"/>
      <c r="AJ1087" s="409"/>
      <c r="AK1087" s="409"/>
      <c r="AL1087" s="409"/>
      <c r="AM1087" s="409"/>
      <c r="AN1087" s="409"/>
      <c r="AO1087" s="409"/>
      <c r="AP1087" s="409"/>
      <c r="AQ1087" s="409"/>
      <c r="AR1087" s="410"/>
    </row>
    <row r="1088" spans="1:44" ht="18" customHeight="1">
      <c r="C1088" s="411"/>
      <c r="D1088" s="412"/>
      <c r="E1088" s="412"/>
      <c r="F1088" s="412"/>
      <c r="G1088" s="412"/>
      <c r="H1088" s="412"/>
      <c r="I1088" s="409"/>
      <c r="J1088" s="409"/>
      <c r="K1088" s="409"/>
      <c r="L1088" s="409"/>
      <c r="M1088" s="409"/>
      <c r="N1088" s="409"/>
      <c r="O1088" s="409"/>
      <c r="P1088" s="409"/>
      <c r="Q1088" s="409"/>
      <c r="R1088" s="409"/>
      <c r="S1088" s="409"/>
      <c r="T1088" s="409"/>
      <c r="U1088" s="409"/>
      <c r="V1088" s="409"/>
      <c r="W1088" s="409"/>
      <c r="X1088" s="409"/>
      <c r="Y1088" s="409"/>
      <c r="Z1088" s="409"/>
      <c r="AA1088" s="409"/>
      <c r="AB1088" s="409"/>
      <c r="AC1088" s="409"/>
      <c r="AD1088" s="409"/>
      <c r="AE1088" s="409"/>
      <c r="AF1088" s="409"/>
      <c r="AG1088" s="409"/>
      <c r="AH1088" s="409"/>
      <c r="AI1088" s="409"/>
      <c r="AJ1088" s="409"/>
      <c r="AK1088" s="409"/>
      <c r="AL1088" s="409"/>
      <c r="AM1088" s="409"/>
      <c r="AN1088" s="409"/>
      <c r="AO1088" s="409"/>
      <c r="AP1088" s="409"/>
      <c r="AQ1088" s="409"/>
      <c r="AR1088" s="410"/>
    </row>
    <row r="1089" spans="3:44" ht="18" customHeight="1">
      <c r="C1089" s="411"/>
      <c r="D1089" s="412"/>
      <c r="E1089" s="412"/>
      <c r="F1089" s="412"/>
      <c r="G1089" s="412"/>
      <c r="H1089" s="412"/>
      <c r="I1089" s="409"/>
      <c r="J1089" s="409"/>
      <c r="K1089" s="409"/>
      <c r="L1089" s="409"/>
      <c r="M1089" s="409"/>
      <c r="N1089" s="409"/>
      <c r="O1089" s="409"/>
      <c r="P1089" s="409"/>
      <c r="Q1089" s="409"/>
      <c r="R1089" s="409"/>
      <c r="S1089" s="409"/>
      <c r="T1089" s="409"/>
      <c r="U1089" s="409"/>
      <c r="V1089" s="409"/>
      <c r="W1089" s="409"/>
      <c r="X1089" s="409"/>
      <c r="Y1089" s="409"/>
      <c r="Z1089" s="409"/>
      <c r="AA1089" s="409"/>
      <c r="AB1089" s="409"/>
      <c r="AC1089" s="409"/>
      <c r="AD1089" s="409"/>
      <c r="AE1089" s="409"/>
      <c r="AF1089" s="409"/>
      <c r="AG1089" s="409"/>
      <c r="AH1089" s="409"/>
      <c r="AI1089" s="409"/>
      <c r="AJ1089" s="409"/>
      <c r="AK1089" s="409"/>
      <c r="AL1089" s="409"/>
      <c r="AM1089" s="409"/>
      <c r="AN1089" s="409"/>
      <c r="AO1089" s="409"/>
      <c r="AP1089" s="409"/>
      <c r="AQ1089" s="409"/>
      <c r="AR1089" s="410"/>
    </row>
    <row r="1090" spans="3:44" ht="18" customHeight="1">
      <c r="C1090" s="385"/>
      <c r="D1090" s="386"/>
      <c r="E1090" s="386"/>
      <c r="F1090" s="386"/>
      <c r="G1090" s="386"/>
      <c r="H1090" s="386"/>
      <c r="I1090" s="387"/>
      <c r="J1090" s="387"/>
      <c r="K1090" s="387"/>
      <c r="L1090" s="387"/>
      <c r="M1090" s="387"/>
      <c r="N1090" s="387"/>
      <c r="O1090" s="387"/>
      <c r="P1090" s="387"/>
      <c r="Q1090" s="387"/>
      <c r="R1090" s="387"/>
      <c r="S1090" s="387"/>
      <c r="T1090" s="387"/>
      <c r="U1090" s="387"/>
      <c r="V1090" s="387"/>
      <c r="W1090" s="387"/>
      <c r="X1090" s="387"/>
      <c r="Y1090" s="387"/>
      <c r="Z1090" s="387"/>
      <c r="AA1090" s="387"/>
      <c r="AB1090" s="387"/>
      <c r="AC1090" s="387"/>
      <c r="AD1090" s="387"/>
      <c r="AE1090" s="387"/>
      <c r="AF1090" s="387"/>
      <c r="AG1090" s="387"/>
      <c r="AH1090" s="387"/>
      <c r="AI1090" s="387"/>
      <c r="AJ1090" s="387"/>
      <c r="AK1090" s="387"/>
      <c r="AL1090" s="387"/>
      <c r="AM1090" s="387"/>
      <c r="AN1090" s="387"/>
      <c r="AO1090" s="387"/>
      <c r="AP1090" s="387"/>
      <c r="AQ1090" s="387"/>
      <c r="AR1090" s="388"/>
    </row>
    <row r="1092" spans="3:44" ht="18" customHeight="1">
      <c r="C1092" s="389" t="s">
        <v>100</v>
      </c>
      <c r="D1092" s="390"/>
      <c r="E1092" s="390"/>
      <c r="F1092" s="390"/>
      <c r="G1092" s="390"/>
      <c r="H1092" s="390"/>
      <c r="I1092" s="390"/>
      <c r="J1092" s="390"/>
      <c r="K1092" s="390"/>
      <c r="L1092" s="390"/>
      <c r="M1092" s="390"/>
      <c r="N1092" s="390"/>
      <c r="O1092" s="390"/>
      <c r="P1092" s="390"/>
      <c r="Q1092" s="390"/>
      <c r="R1092" s="390"/>
      <c r="S1092" s="390"/>
      <c r="T1092" s="390"/>
      <c r="U1092" s="390"/>
      <c r="V1092" s="390"/>
      <c r="W1092" s="390"/>
      <c r="X1092" s="390"/>
      <c r="Y1092" s="390"/>
      <c r="Z1092" s="390"/>
      <c r="AA1092" s="391"/>
      <c r="AB1092" s="392" t="str">
        <f>[4]C.UNIT.SERV.!$E$5</f>
        <v>DATA-BASE:      MAIO/2011/PR</v>
      </c>
      <c r="AC1092" s="393"/>
      <c r="AD1092" s="393"/>
      <c r="AE1092" s="393"/>
      <c r="AF1092" s="393"/>
      <c r="AG1092" s="393"/>
      <c r="AH1092" s="393"/>
      <c r="AI1092" s="394"/>
      <c r="AJ1092" s="392"/>
      <c r="AK1092" s="393"/>
      <c r="AL1092" s="393"/>
      <c r="AM1092" s="393"/>
      <c r="AN1092" s="393"/>
      <c r="AO1092" s="393"/>
      <c r="AP1092" s="393"/>
      <c r="AQ1092" s="393"/>
      <c r="AR1092" s="401"/>
    </row>
    <row r="1093" spans="3:44" ht="18" customHeight="1">
      <c r="C1093" s="404" t="s">
        <v>101</v>
      </c>
      <c r="D1093" s="405"/>
      <c r="E1093" s="405"/>
      <c r="F1093" s="405"/>
      <c r="G1093" s="405" t="s">
        <v>283</v>
      </c>
      <c r="H1093" s="405"/>
      <c r="I1093" s="405"/>
      <c r="J1093" s="405"/>
      <c r="K1093" s="405"/>
      <c r="L1093" s="405"/>
      <c r="M1093" s="405"/>
      <c r="N1093" s="405"/>
      <c r="O1093" s="405"/>
      <c r="P1093" s="405"/>
      <c r="Q1093" s="405"/>
      <c r="R1093" s="405"/>
      <c r="S1093" s="405"/>
      <c r="T1093" s="405"/>
      <c r="U1093" s="405"/>
      <c r="V1093" s="405"/>
      <c r="W1093" s="405"/>
      <c r="X1093" s="405"/>
      <c r="Y1093" s="405"/>
      <c r="Z1093" s="405"/>
      <c r="AA1093" s="406"/>
      <c r="AB1093" s="395"/>
      <c r="AC1093" s="396"/>
      <c r="AD1093" s="396"/>
      <c r="AE1093" s="396"/>
      <c r="AF1093" s="396"/>
      <c r="AG1093" s="396"/>
      <c r="AH1093" s="396"/>
      <c r="AI1093" s="397"/>
      <c r="AJ1093" s="395"/>
      <c r="AK1093" s="396"/>
      <c r="AL1093" s="396"/>
      <c r="AM1093" s="396"/>
      <c r="AN1093" s="396"/>
      <c r="AO1093" s="396"/>
      <c r="AP1093" s="396"/>
      <c r="AQ1093" s="396"/>
      <c r="AR1093" s="402"/>
    </row>
    <row r="1094" spans="3:44" ht="18" customHeight="1">
      <c r="C1094" s="404" t="s">
        <v>102</v>
      </c>
      <c r="D1094" s="405"/>
      <c r="E1094" s="405"/>
      <c r="F1094" s="405"/>
      <c r="G1094" s="405"/>
      <c r="H1094" s="405"/>
      <c r="I1094" s="405"/>
      <c r="J1094" s="405"/>
      <c r="K1094" s="405"/>
      <c r="L1094" s="405"/>
      <c r="M1094" s="405"/>
      <c r="N1094" s="405"/>
      <c r="O1094" s="405"/>
      <c r="P1094" s="405"/>
      <c r="Q1094" s="405"/>
      <c r="R1094" s="405"/>
      <c r="S1094" s="405"/>
      <c r="T1094" s="405"/>
      <c r="U1094" s="405"/>
      <c r="V1094" s="405"/>
      <c r="W1094" s="405"/>
      <c r="X1094" s="405"/>
      <c r="Y1094" s="405"/>
      <c r="Z1094" s="405"/>
      <c r="AA1094" s="406"/>
      <c r="AB1094" s="395"/>
      <c r="AC1094" s="396"/>
      <c r="AD1094" s="396"/>
      <c r="AE1094" s="396"/>
      <c r="AF1094" s="396"/>
      <c r="AG1094" s="396"/>
      <c r="AH1094" s="396"/>
      <c r="AI1094" s="397"/>
      <c r="AJ1094" s="395"/>
      <c r="AK1094" s="396"/>
      <c r="AL1094" s="396"/>
      <c r="AM1094" s="396"/>
      <c r="AN1094" s="396"/>
      <c r="AO1094" s="396"/>
      <c r="AP1094" s="396"/>
      <c r="AQ1094" s="396"/>
      <c r="AR1094" s="402"/>
    </row>
    <row r="1095" spans="3:44" ht="18" customHeight="1">
      <c r="C1095" s="407"/>
      <c r="D1095" s="408"/>
      <c r="E1095" s="408"/>
      <c r="F1095" s="408"/>
      <c r="G1095" s="408"/>
      <c r="H1095" s="408"/>
      <c r="I1095" s="408"/>
      <c r="J1095" s="408"/>
      <c r="K1095" s="408"/>
      <c r="L1095" s="408"/>
      <c r="M1095" s="408"/>
      <c r="N1095" s="408"/>
      <c r="O1095" s="408"/>
      <c r="P1095" s="408"/>
      <c r="Q1095" s="408"/>
      <c r="R1095" s="408"/>
      <c r="S1095" s="408"/>
      <c r="T1095" s="408"/>
      <c r="U1095" s="408"/>
      <c r="V1095" s="408"/>
      <c r="W1095" s="408"/>
      <c r="X1095" s="408"/>
      <c r="Y1095" s="408"/>
      <c r="Z1095" s="408"/>
      <c r="AA1095" s="408"/>
      <c r="AB1095" s="398"/>
      <c r="AC1095" s="399"/>
      <c r="AD1095" s="399"/>
      <c r="AE1095" s="399"/>
      <c r="AF1095" s="399"/>
      <c r="AG1095" s="399"/>
      <c r="AH1095" s="399"/>
      <c r="AI1095" s="400"/>
      <c r="AJ1095" s="398"/>
      <c r="AK1095" s="399"/>
      <c r="AL1095" s="399"/>
      <c r="AM1095" s="399"/>
      <c r="AN1095" s="399"/>
      <c r="AO1095" s="399"/>
      <c r="AP1095" s="399"/>
      <c r="AQ1095" s="399"/>
      <c r="AR1095" s="403"/>
    </row>
    <row r="1097" spans="3:44" ht="18" customHeight="1">
      <c r="C1097" s="850" t="s">
        <v>64</v>
      </c>
      <c r="D1097" s="851"/>
      <c r="E1097" s="851"/>
      <c r="F1097" s="851"/>
      <c r="G1097" s="851"/>
      <c r="H1097" s="851"/>
      <c r="I1097" s="851"/>
      <c r="J1097" s="851"/>
      <c r="K1097" s="851"/>
      <c r="L1097" s="851"/>
      <c r="M1097" s="851"/>
      <c r="N1097" s="851"/>
      <c r="O1097" s="851"/>
      <c r="P1097" s="851"/>
      <c r="Q1097" s="851"/>
      <c r="R1097" s="851"/>
      <c r="S1097" s="851"/>
      <c r="T1097" s="851"/>
      <c r="U1097" s="851"/>
      <c r="V1097" s="851"/>
      <c r="W1097" s="851"/>
      <c r="X1097" s="851"/>
      <c r="Y1097" s="851"/>
      <c r="Z1097" s="851"/>
      <c r="AA1097" s="851"/>
      <c r="AB1097" s="851"/>
      <c r="AC1097" s="851"/>
      <c r="AD1097" s="851"/>
      <c r="AE1097" s="851"/>
      <c r="AF1097" s="851"/>
      <c r="AG1097" s="851"/>
      <c r="AH1097" s="851"/>
      <c r="AI1097" s="851"/>
      <c r="AJ1097" s="851"/>
      <c r="AK1097" s="851"/>
      <c r="AL1097" s="851"/>
      <c r="AM1097" s="851"/>
      <c r="AN1097" s="851"/>
      <c r="AO1097" s="851"/>
      <c r="AP1097" s="851"/>
      <c r="AQ1097" s="851"/>
      <c r="AR1097" s="852"/>
    </row>
    <row r="1098" spans="3:44" ht="18" customHeight="1">
      <c r="C1098" s="853"/>
      <c r="D1098" s="854"/>
      <c r="E1098" s="854"/>
      <c r="F1098" s="854"/>
      <c r="G1098" s="854"/>
      <c r="H1098" s="854"/>
      <c r="I1098" s="854"/>
      <c r="J1098" s="854"/>
      <c r="K1098" s="854"/>
      <c r="L1098" s="854"/>
      <c r="M1098" s="854"/>
      <c r="N1098" s="854"/>
      <c r="O1098" s="854"/>
      <c r="P1098" s="854"/>
      <c r="Q1098" s="854"/>
      <c r="R1098" s="854"/>
      <c r="S1098" s="854"/>
      <c r="T1098" s="854"/>
      <c r="U1098" s="854"/>
      <c r="V1098" s="854"/>
      <c r="W1098" s="854"/>
      <c r="X1098" s="854"/>
      <c r="Y1098" s="854"/>
      <c r="Z1098" s="854"/>
      <c r="AA1098" s="854"/>
      <c r="AB1098" s="854"/>
      <c r="AC1098" s="854"/>
      <c r="AD1098" s="854"/>
      <c r="AE1098" s="854"/>
      <c r="AF1098" s="854"/>
      <c r="AG1098" s="854"/>
      <c r="AH1098" s="854"/>
      <c r="AI1098" s="854"/>
      <c r="AJ1098" s="854"/>
      <c r="AK1098" s="854"/>
      <c r="AL1098" s="854"/>
      <c r="AM1098" s="854"/>
      <c r="AN1098" s="854"/>
      <c r="AO1098" s="854"/>
      <c r="AP1098" s="854"/>
      <c r="AQ1098" s="854"/>
      <c r="AR1098" s="855"/>
    </row>
    <row r="1099" spans="3:44" ht="18" customHeight="1">
      <c r="C1099" s="856" t="s">
        <v>65</v>
      </c>
      <c r="D1099" s="857"/>
      <c r="E1099" s="857"/>
      <c r="F1099" s="857"/>
      <c r="G1099" s="860" t="s">
        <v>873</v>
      </c>
      <c r="H1099" s="860"/>
      <c r="I1099" s="860"/>
      <c r="J1099" s="861"/>
      <c r="K1099" s="864" t="s">
        <v>66</v>
      </c>
      <c r="L1099" s="865"/>
      <c r="M1099" s="865"/>
      <c r="N1099" s="865"/>
      <c r="O1099" s="526" t="s">
        <v>874</v>
      </c>
      <c r="P1099" s="526"/>
      <c r="Q1099" s="526"/>
      <c r="R1099" s="526"/>
      <c r="S1099" s="526"/>
      <c r="T1099" s="526"/>
      <c r="U1099" s="526"/>
      <c r="V1099" s="526"/>
      <c r="W1099" s="526"/>
      <c r="X1099" s="526"/>
      <c r="Y1099" s="526"/>
      <c r="Z1099" s="526"/>
      <c r="AA1099" s="526"/>
      <c r="AB1099" s="526"/>
      <c r="AC1099" s="526"/>
      <c r="AD1099" s="526"/>
      <c r="AE1099" s="526"/>
      <c r="AF1099" s="526"/>
      <c r="AG1099" s="526"/>
      <c r="AH1099" s="526"/>
      <c r="AI1099" s="526"/>
      <c r="AJ1099" s="526"/>
      <c r="AK1099" s="527"/>
      <c r="AL1099" s="864" t="s">
        <v>67</v>
      </c>
      <c r="AM1099" s="865"/>
      <c r="AN1099" s="865"/>
      <c r="AO1099" s="865"/>
      <c r="AP1099" s="843" t="s">
        <v>194</v>
      </c>
      <c r="AQ1099" s="843"/>
      <c r="AR1099" s="844"/>
    </row>
    <row r="1100" spans="3:44" ht="18" customHeight="1">
      <c r="C1100" s="858"/>
      <c r="D1100" s="859"/>
      <c r="E1100" s="859"/>
      <c r="F1100" s="859"/>
      <c r="G1100" s="862"/>
      <c r="H1100" s="862"/>
      <c r="I1100" s="862"/>
      <c r="J1100" s="863"/>
      <c r="K1100" s="866"/>
      <c r="L1100" s="867"/>
      <c r="M1100" s="867"/>
      <c r="N1100" s="867"/>
      <c r="O1100" s="528"/>
      <c r="P1100" s="528"/>
      <c r="Q1100" s="528"/>
      <c r="R1100" s="528"/>
      <c r="S1100" s="528"/>
      <c r="T1100" s="528"/>
      <c r="U1100" s="528"/>
      <c r="V1100" s="528"/>
      <c r="W1100" s="528"/>
      <c r="X1100" s="528"/>
      <c r="Y1100" s="528"/>
      <c r="Z1100" s="528"/>
      <c r="AA1100" s="528"/>
      <c r="AB1100" s="528"/>
      <c r="AC1100" s="528"/>
      <c r="AD1100" s="528"/>
      <c r="AE1100" s="528"/>
      <c r="AF1100" s="528"/>
      <c r="AG1100" s="528"/>
      <c r="AH1100" s="528"/>
      <c r="AI1100" s="528"/>
      <c r="AJ1100" s="528"/>
      <c r="AK1100" s="529"/>
      <c r="AL1100" s="866"/>
      <c r="AM1100" s="867"/>
      <c r="AN1100" s="867"/>
      <c r="AO1100" s="867"/>
      <c r="AP1100" s="845"/>
      <c r="AQ1100" s="845"/>
      <c r="AR1100" s="846"/>
    </row>
    <row r="1102" spans="3:44" ht="18" customHeight="1">
      <c r="C1102" s="794" t="s">
        <v>43</v>
      </c>
      <c r="D1102" s="774"/>
      <c r="E1102" s="775"/>
      <c r="F1102" s="773" t="s">
        <v>68</v>
      </c>
      <c r="G1102" s="774"/>
      <c r="H1102" s="774"/>
      <c r="I1102" s="774"/>
      <c r="J1102" s="774"/>
      <c r="K1102" s="774"/>
      <c r="L1102" s="774"/>
      <c r="M1102" s="774"/>
      <c r="N1102" s="774"/>
      <c r="O1102" s="774"/>
      <c r="P1102" s="774"/>
      <c r="Q1102" s="774"/>
      <c r="R1102" s="774"/>
      <c r="S1102" s="774"/>
      <c r="T1102" s="774"/>
      <c r="U1102" s="775"/>
      <c r="V1102" s="773" t="s">
        <v>249</v>
      </c>
      <c r="W1102" s="774"/>
      <c r="X1102" s="775"/>
      <c r="Y1102" s="847" t="s">
        <v>69</v>
      </c>
      <c r="Z1102" s="848"/>
      <c r="AA1102" s="848"/>
      <c r="AB1102" s="848"/>
      <c r="AC1102" s="848"/>
      <c r="AD1102" s="848"/>
      <c r="AE1102" s="848"/>
      <c r="AF1102" s="849"/>
      <c r="AG1102" s="847" t="s">
        <v>70</v>
      </c>
      <c r="AH1102" s="848"/>
      <c r="AI1102" s="848"/>
      <c r="AJ1102" s="848"/>
      <c r="AK1102" s="848"/>
      <c r="AL1102" s="848"/>
      <c r="AM1102" s="848"/>
      <c r="AN1102" s="849"/>
      <c r="AO1102" s="773" t="s">
        <v>71</v>
      </c>
      <c r="AP1102" s="774"/>
      <c r="AQ1102" s="774"/>
      <c r="AR1102" s="779"/>
    </row>
    <row r="1103" spans="3:44" ht="18" customHeight="1">
      <c r="C1103" s="795"/>
      <c r="D1103" s="777"/>
      <c r="E1103" s="778"/>
      <c r="F1103" s="776"/>
      <c r="G1103" s="777"/>
      <c r="H1103" s="777"/>
      <c r="I1103" s="777"/>
      <c r="J1103" s="777"/>
      <c r="K1103" s="777"/>
      <c r="L1103" s="777"/>
      <c r="M1103" s="777"/>
      <c r="N1103" s="777"/>
      <c r="O1103" s="777"/>
      <c r="P1103" s="777"/>
      <c r="Q1103" s="777"/>
      <c r="R1103" s="777"/>
      <c r="S1103" s="777"/>
      <c r="T1103" s="777"/>
      <c r="U1103" s="778"/>
      <c r="V1103" s="776"/>
      <c r="W1103" s="777"/>
      <c r="X1103" s="778"/>
      <c r="Y1103" s="834" t="s">
        <v>72</v>
      </c>
      <c r="Z1103" s="835"/>
      <c r="AA1103" s="835"/>
      <c r="AB1103" s="836"/>
      <c r="AC1103" s="834" t="s">
        <v>73</v>
      </c>
      <c r="AD1103" s="835"/>
      <c r="AE1103" s="835"/>
      <c r="AF1103" s="836"/>
      <c r="AG1103" s="834" t="s">
        <v>72</v>
      </c>
      <c r="AH1103" s="835"/>
      <c r="AI1103" s="835"/>
      <c r="AJ1103" s="836"/>
      <c r="AK1103" s="834" t="s">
        <v>73</v>
      </c>
      <c r="AL1103" s="835"/>
      <c r="AM1103" s="835"/>
      <c r="AN1103" s="836"/>
      <c r="AO1103" s="776"/>
      <c r="AP1103" s="777"/>
      <c r="AQ1103" s="777"/>
      <c r="AR1103" s="780"/>
    </row>
    <row r="1104" spans="3:44" ht="18" customHeight="1">
      <c r="C1104" s="781" t="s">
        <v>1386</v>
      </c>
      <c r="D1104" s="782"/>
      <c r="E1104" s="783"/>
      <c r="F1104" s="493" t="s">
        <v>866</v>
      </c>
      <c r="G1104" s="493"/>
      <c r="H1104" s="493"/>
      <c r="I1104" s="493"/>
      <c r="J1104" s="493"/>
      <c r="K1104" s="493"/>
      <c r="L1104" s="493"/>
      <c r="M1104" s="493"/>
      <c r="N1104" s="493"/>
      <c r="O1104" s="493"/>
      <c r="P1104" s="493"/>
      <c r="Q1104" s="493"/>
      <c r="R1104" s="493"/>
      <c r="S1104" s="493"/>
      <c r="T1104" s="493"/>
      <c r="U1104" s="493"/>
      <c r="V1104" s="837">
        <v>0.4</v>
      </c>
      <c r="W1104" s="838"/>
      <c r="X1104" s="839"/>
      <c r="Y1104" s="837">
        <v>1</v>
      </c>
      <c r="Z1104" s="838"/>
      <c r="AA1104" s="838"/>
      <c r="AB1104" s="839"/>
      <c r="AC1104" s="840">
        <f>1-Y1104</f>
        <v>0</v>
      </c>
      <c r="AD1104" s="841"/>
      <c r="AE1104" s="841"/>
      <c r="AF1104" s="842"/>
      <c r="AG1104" s="491">
        <f>VLOOKUP(C1104,[4]EQUIPAMENTOS!A$1:D$65536,3,FALSE)</f>
        <v>120.4585</v>
      </c>
      <c r="AH1104" s="491"/>
      <c r="AI1104" s="491"/>
      <c r="AJ1104" s="491"/>
      <c r="AK1104" s="491">
        <f>VLOOKUP(C1104,[4]EQUIPAMENTOS!A$1:D$65536,4,FALSE)</f>
        <v>17.939399999999999</v>
      </c>
      <c r="AL1104" s="491"/>
      <c r="AM1104" s="491"/>
      <c r="AN1104" s="491"/>
      <c r="AO1104" s="491">
        <f>ROUND((Y1104*AG1104+AC1104*AK1104)*V1104,2)</f>
        <v>48.18</v>
      </c>
      <c r="AP1104" s="491"/>
      <c r="AQ1104" s="491"/>
      <c r="AR1104" s="492"/>
    </row>
    <row r="1105" spans="3:49" ht="18" customHeight="1">
      <c r="C1105" s="758" t="s">
        <v>1387</v>
      </c>
      <c r="D1105" s="759"/>
      <c r="E1105" s="760"/>
      <c r="F1105" s="493" t="s">
        <v>867</v>
      </c>
      <c r="G1105" s="493"/>
      <c r="H1105" s="493"/>
      <c r="I1105" s="493"/>
      <c r="J1105" s="493"/>
      <c r="K1105" s="493"/>
      <c r="L1105" s="493"/>
      <c r="M1105" s="493"/>
      <c r="N1105" s="493"/>
      <c r="O1105" s="493"/>
      <c r="P1105" s="493"/>
      <c r="Q1105" s="493"/>
      <c r="R1105" s="493"/>
      <c r="S1105" s="493"/>
      <c r="T1105" s="493"/>
      <c r="U1105" s="493"/>
      <c r="V1105" s="466">
        <v>0.15</v>
      </c>
      <c r="W1105" s="467"/>
      <c r="X1105" s="468"/>
      <c r="Y1105" s="466">
        <v>1</v>
      </c>
      <c r="Z1105" s="467"/>
      <c r="AA1105" s="467"/>
      <c r="AB1105" s="468"/>
      <c r="AC1105" s="828">
        <f>1-Y1105</f>
        <v>0</v>
      </c>
      <c r="AD1105" s="829"/>
      <c r="AE1105" s="829"/>
      <c r="AF1105" s="830"/>
      <c r="AG1105" s="491">
        <f>VLOOKUP(C1105,[4]EQUIPAMENTOS!A$1:D$65536,3,FALSE)</f>
        <v>123.3065</v>
      </c>
      <c r="AH1105" s="491"/>
      <c r="AI1105" s="491"/>
      <c r="AJ1105" s="491"/>
      <c r="AK1105" s="491">
        <f>VLOOKUP(C1105,[4]EQUIPAMENTOS!A$1:D$65536,4,FALSE)</f>
        <v>17.939399999999999</v>
      </c>
      <c r="AL1105" s="491"/>
      <c r="AM1105" s="491"/>
      <c r="AN1105" s="491"/>
      <c r="AO1105" s="491">
        <f>ROUND((Y1105*AG1105+AC1105*AK1105)*V1105,2)</f>
        <v>18.5</v>
      </c>
      <c r="AP1105" s="491"/>
      <c r="AQ1105" s="491"/>
      <c r="AR1105" s="492"/>
    </row>
    <row r="1106" spans="3:49" ht="18" customHeight="1">
      <c r="C1106" s="758"/>
      <c r="D1106" s="759"/>
      <c r="E1106" s="760"/>
      <c r="F1106" s="493"/>
      <c r="G1106" s="493"/>
      <c r="H1106" s="493"/>
      <c r="I1106" s="493"/>
      <c r="J1106" s="493"/>
      <c r="K1106" s="493"/>
      <c r="L1106" s="493"/>
      <c r="M1106" s="493"/>
      <c r="N1106" s="493"/>
      <c r="O1106" s="493"/>
      <c r="P1106" s="493"/>
      <c r="Q1106" s="493"/>
      <c r="R1106" s="493"/>
      <c r="S1106" s="493"/>
      <c r="T1106" s="493"/>
      <c r="U1106" s="493"/>
      <c r="V1106" s="466"/>
      <c r="W1106" s="467"/>
      <c r="X1106" s="468"/>
      <c r="Y1106" s="466"/>
      <c r="Z1106" s="467"/>
      <c r="AA1106" s="467"/>
      <c r="AB1106" s="468"/>
      <c r="AC1106" s="828"/>
      <c r="AD1106" s="829"/>
      <c r="AE1106" s="829"/>
      <c r="AF1106" s="830"/>
      <c r="AG1106" s="491"/>
      <c r="AH1106" s="491"/>
      <c r="AI1106" s="491"/>
      <c r="AJ1106" s="491"/>
      <c r="AK1106" s="491"/>
      <c r="AL1106" s="491"/>
      <c r="AM1106" s="491"/>
      <c r="AN1106" s="491"/>
      <c r="AO1106" s="491"/>
      <c r="AP1106" s="491"/>
      <c r="AQ1106" s="491"/>
      <c r="AR1106" s="492"/>
    </row>
    <row r="1107" spans="3:49" ht="18" customHeight="1">
      <c r="C1107" s="758"/>
      <c r="D1107" s="759"/>
      <c r="E1107" s="760"/>
      <c r="F1107" s="493"/>
      <c r="G1107" s="493"/>
      <c r="H1107" s="493"/>
      <c r="I1107" s="493"/>
      <c r="J1107" s="493"/>
      <c r="K1107" s="493"/>
      <c r="L1107" s="493"/>
      <c r="M1107" s="493"/>
      <c r="N1107" s="493"/>
      <c r="O1107" s="493"/>
      <c r="P1107" s="493"/>
      <c r="Q1107" s="493"/>
      <c r="R1107" s="493"/>
      <c r="S1107" s="493"/>
      <c r="T1107" s="493"/>
      <c r="U1107" s="493"/>
      <c r="V1107" s="466"/>
      <c r="W1107" s="467"/>
      <c r="X1107" s="468"/>
      <c r="Y1107" s="466"/>
      <c r="Z1107" s="467"/>
      <c r="AA1107" s="467"/>
      <c r="AB1107" s="468"/>
      <c r="AC1107" s="828"/>
      <c r="AD1107" s="829"/>
      <c r="AE1107" s="829"/>
      <c r="AF1107" s="830"/>
      <c r="AG1107" s="491"/>
      <c r="AH1107" s="491"/>
      <c r="AI1107" s="491"/>
      <c r="AJ1107" s="491"/>
      <c r="AK1107" s="491"/>
      <c r="AL1107" s="491"/>
      <c r="AM1107" s="491"/>
      <c r="AN1107" s="491"/>
      <c r="AO1107" s="491"/>
      <c r="AP1107" s="491"/>
      <c r="AQ1107" s="491"/>
      <c r="AR1107" s="492"/>
      <c r="AW1107" s="7" t="s">
        <v>922</v>
      </c>
    </row>
    <row r="1108" spans="3:49" ht="18" customHeight="1">
      <c r="C1108" s="758"/>
      <c r="D1108" s="759"/>
      <c r="E1108" s="760"/>
      <c r="F1108" s="493"/>
      <c r="G1108" s="493"/>
      <c r="H1108" s="493"/>
      <c r="I1108" s="493"/>
      <c r="J1108" s="493"/>
      <c r="K1108" s="493"/>
      <c r="L1108" s="493"/>
      <c r="M1108" s="493"/>
      <c r="N1108" s="493"/>
      <c r="O1108" s="493"/>
      <c r="P1108" s="493"/>
      <c r="Q1108" s="493"/>
      <c r="R1108" s="493"/>
      <c r="S1108" s="493"/>
      <c r="T1108" s="493"/>
      <c r="U1108" s="493"/>
      <c r="V1108" s="466"/>
      <c r="W1108" s="467"/>
      <c r="X1108" s="468"/>
      <c r="Y1108" s="466"/>
      <c r="Z1108" s="467"/>
      <c r="AA1108" s="467"/>
      <c r="AB1108" s="468"/>
      <c r="AC1108" s="828"/>
      <c r="AD1108" s="829"/>
      <c r="AE1108" s="829"/>
      <c r="AF1108" s="830"/>
      <c r="AG1108" s="491"/>
      <c r="AH1108" s="491"/>
      <c r="AI1108" s="491"/>
      <c r="AJ1108" s="491"/>
      <c r="AK1108" s="491"/>
      <c r="AL1108" s="491"/>
      <c r="AM1108" s="491"/>
      <c r="AN1108" s="491"/>
      <c r="AO1108" s="491"/>
      <c r="AP1108" s="491"/>
      <c r="AQ1108" s="491"/>
      <c r="AR1108" s="492"/>
    </row>
    <row r="1109" spans="3:49" ht="18" customHeight="1">
      <c r="C1109" s="758"/>
      <c r="D1109" s="759"/>
      <c r="E1109" s="760"/>
      <c r="F1109" s="493"/>
      <c r="G1109" s="493"/>
      <c r="H1109" s="493"/>
      <c r="I1109" s="493"/>
      <c r="J1109" s="493"/>
      <c r="K1109" s="493"/>
      <c r="L1109" s="493"/>
      <c r="M1109" s="493"/>
      <c r="N1109" s="493"/>
      <c r="O1109" s="493"/>
      <c r="P1109" s="493"/>
      <c r="Q1109" s="493"/>
      <c r="R1109" s="493"/>
      <c r="S1109" s="493"/>
      <c r="T1109" s="493"/>
      <c r="U1109" s="493"/>
      <c r="V1109" s="466"/>
      <c r="W1109" s="467"/>
      <c r="X1109" s="468"/>
      <c r="Y1109" s="466"/>
      <c r="Z1109" s="467"/>
      <c r="AA1109" s="467"/>
      <c r="AB1109" s="468"/>
      <c r="AC1109" s="828"/>
      <c r="AD1109" s="829"/>
      <c r="AE1109" s="829"/>
      <c r="AF1109" s="830"/>
      <c r="AG1109" s="491"/>
      <c r="AH1109" s="491"/>
      <c r="AI1109" s="491"/>
      <c r="AJ1109" s="491"/>
      <c r="AK1109" s="491"/>
      <c r="AL1109" s="491"/>
      <c r="AM1109" s="491"/>
      <c r="AN1109" s="491"/>
      <c r="AO1109" s="491"/>
      <c r="AP1109" s="491"/>
      <c r="AQ1109" s="491"/>
      <c r="AR1109" s="492"/>
    </row>
    <row r="1110" spans="3:49" ht="18" customHeight="1">
      <c r="C1110" s="758"/>
      <c r="D1110" s="759"/>
      <c r="E1110" s="760"/>
      <c r="F1110" s="796"/>
      <c r="G1110" s="797"/>
      <c r="H1110" s="797"/>
      <c r="I1110" s="797"/>
      <c r="J1110" s="797"/>
      <c r="K1110" s="797"/>
      <c r="L1110" s="797"/>
      <c r="M1110" s="797"/>
      <c r="N1110" s="797"/>
      <c r="O1110" s="797"/>
      <c r="P1110" s="797"/>
      <c r="Q1110" s="797"/>
      <c r="R1110" s="797"/>
      <c r="S1110" s="797"/>
      <c r="T1110" s="797"/>
      <c r="U1110" s="798"/>
      <c r="V1110" s="466"/>
      <c r="W1110" s="467"/>
      <c r="X1110" s="468"/>
      <c r="Y1110" s="466"/>
      <c r="Z1110" s="467"/>
      <c r="AA1110" s="467"/>
      <c r="AB1110" s="468"/>
      <c r="AC1110" s="828"/>
      <c r="AD1110" s="829"/>
      <c r="AE1110" s="829"/>
      <c r="AF1110" s="830"/>
      <c r="AG1110" s="466"/>
      <c r="AH1110" s="467"/>
      <c r="AI1110" s="467"/>
      <c r="AJ1110" s="468"/>
      <c r="AK1110" s="466"/>
      <c r="AL1110" s="467"/>
      <c r="AM1110" s="467"/>
      <c r="AN1110" s="468"/>
      <c r="AO1110" s="466"/>
      <c r="AP1110" s="467"/>
      <c r="AQ1110" s="467"/>
      <c r="AR1110" s="823"/>
    </row>
    <row r="1111" spans="3:49" ht="18" customHeight="1">
      <c r="C1111" s="758"/>
      <c r="D1111" s="759"/>
      <c r="E1111" s="760"/>
      <c r="F1111" s="796"/>
      <c r="G1111" s="797"/>
      <c r="H1111" s="797"/>
      <c r="I1111" s="797"/>
      <c r="J1111" s="797"/>
      <c r="K1111" s="797"/>
      <c r="L1111" s="797"/>
      <c r="M1111" s="797"/>
      <c r="N1111" s="797"/>
      <c r="O1111" s="797"/>
      <c r="P1111" s="797"/>
      <c r="Q1111" s="797"/>
      <c r="R1111" s="797"/>
      <c r="S1111" s="797"/>
      <c r="T1111" s="797"/>
      <c r="U1111" s="798"/>
      <c r="V1111" s="466"/>
      <c r="W1111" s="467"/>
      <c r="X1111" s="468"/>
      <c r="Y1111" s="466"/>
      <c r="Z1111" s="467"/>
      <c r="AA1111" s="467"/>
      <c r="AB1111" s="468"/>
      <c r="AC1111" s="828"/>
      <c r="AD1111" s="829"/>
      <c r="AE1111" s="829"/>
      <c r="AF1111" s="830"/>
      <c r="AG1111" s="466"/>
      <c r="AH1111" s="467"/>
      <c r="AI1111" s="467"/>
      <c r="AJ1111" s="468"/>
      <c r="AK1111" s="466"/>
      <c r="AL1111" s="467"/>
      <c r="AM1111" s="467"/>
      <c r="AN1111" s="468"/>
      <c r="AO1111" s="466"/>
      <c r="AP1111" s="467"/>
      <c r="AQ1111" s="467"/>
      <c r="AR1111" s="823"/>
    </row>
    <row r="1112" spans="3:49" ht="18" customHeight="1">
      <c r="C1112" s="743"/>
      <c r="D1112" s="744"/>
      <c r="E1112" s="744"/>
      <c r="F1112" s="744"/>
      <c r="G1112" s="744"/>
      <c r="H1112" s="744"/>
      <c r="I1112" s="744"/>
      <c r="J1112" s="744"/>
      <c r="K1112" s="744"/>
      <c r="L1112" s="744"/>
      <c r="M1112" s="744"/>
      <c r="N1112" s="744"/>
      <c r="O1112" s="744"/>
      <c r="P1112" s="744"/>
      <c r="Q1112" s="744"/>
      <c r="R1112" s="744"/>
      <c r="S1112" s="744"/>
      <c r="T1112" s="744"/>
      <c r="U1112" s="744"/>
      <c r="V1112" s="744"/>
      <c r="W1112" s="744"/>
      <c r="X1112" s="824"/>
      <c r="Y1112" s="825" t="s">
        <v>74</v>
      </c>
      <c r="Z1112" s="826"/>
      <c r="AA1112" s="826"/>
      <c r="AB1112" s="826"/>
      <c r="AC1112" s="826"/>
      <c r="AD1112" s="826"/>
      <c r="AE1112" s="826"/>
      <c r="AF1112" s="826"/>
      <c r="AG1112" s="826"/>
      <c r="AH1112" s="826"/>
      <c r="AI1112" s="826"/>
      <c r="AJ1112" s="826"/>
      <c r="AK1112" s="826"/>
      <c r="AL1112" s="826"/>
      <c r="AM1112" s="826"/>
      <c r="AN1112" s="827"/>
      <c r="AO1112" s="477">
        <f>SUM(AO1104:AR1111)</f>
        <v>66.680000000000007</v>
      </c>
      <c r="AP1112" s="746"/>
      <c r="AQ1112" s="746"/>
      <c r="AR1112" s="747"/>
    </row>
    <row r="1114" spans="3:49" ht="18" customHeight="1">
      <c r="C1114" s="794" t="s">
        <v>43</v>
      </c>
      <c r="D1114" s="774"/>
      <c r="E1114" s="775"/>
      <c r="F1114" s="773" t="s">
        <v>75</v>
      </c>
      <c r="G1114" s="774"/>
      <c r="H1114" s="774"/>
      <c r="I1114" s="774"/>
      <c r="J1114" s="774"/>
      <c r="K1114" s="774"/>
      <c r="L1114" s="774"/>
      <c r="M1114" s="774"/>
      <c r="N1114" s="774"/>
      <c r="O1114" s="774"/>
      <c r="P1114" s="774"/>
      <c r="Q1114" s="774"/>
      <c r="R1114" s="774"/>
      <c r="S1114" s="774"/>
      <c r="T1114" s="774"/>
      <c r="U1114" s="774"/>
      <c r="V1114" s="774"/>
      <c r="W1114" s="774"/>
      <c r="X1114" s="774"/>
      <c r="Y1114" s="774"/>
      <c r="Z1114" s="774"/>
      <c r="AA1114" s="774"/>
      <c r="AB1114" s="775"/>
      <c r="AC1114" s="773" t="s">
        <v>76</v>
      </c>
      <c r="AD1114" s="774"/>
      <c r="AE1114" s="774"/>
      <c r="AF1114" s="775"/>
      <c r="AG1114" s="773" t="s">
        <v>249</v>
      </c>
      <c r="AH1114" s="774"/>
      <c r="AI1114" s="774"/>
      <c r="AJ1114" s="775"/>
      <c r="AK1114" s="773" t="s">
        <v>77</v>
      </c>
      <c r="AL1114" s="774"/>
      <c r="AM1114" s="774"/>
      <c r="AN1114" s="775"/>
      <c r="AO1114" s="773" t="s">
        <v>71</v>
      </c>
      <c r="AP1114" s="774"/>
      <c r="AQ1114" s="774"/>
      <c r="AR1114" s="779"/>
    </row>
    <row r="1115" spans="3:49" ht="18" customHeight="1">
      <c r="C1115" s="795"/>
      <c r="D1115" s="777"/>
      <c r="E1115" s="778"/>
      <c r="F1115" s="776"/>
      <c r="G1115" s="777"/>
      <c r="H1115" s="777"/>
      <c r="I1115" s="777"/>
      <c r="J1115" s="777"/>
      <c r="K1115" s="777"/>
      <c r="L1115" s="777"/>
      <c r="M1115" s="777"/>
      <c r="N1115" s="777"/>
      <c r="O1115" s="777"/>
      <c r="P1115" s="777"/>
      <c r="Q1115" s="777"/>
      <c r="R1115" s="777"/>
      <c r="S1115" s="777"/>
      <c r="T1115" s="777"/>
      <c r="U1115" s="777"/>
      <c r="V1115" s="777"/>
      <c r="W1115" s="777"/>
      <c r="X1115" s="777"/>
      <c r="Y1115" s="777"/>
      <c r="Z1115" s="777"/>
      <c r="AA1115" s="777"/>
      <c r="AB1115" s="778"/>
      <c r="AC1115" s="776"/>
      <c r="AD1115" s="777"/>
      <c r="AE1115" s="777"/>
      <c r="AF1115" s="778"/>
      <c r="AG1115" s="776"/>
      <c r="AH1115" s="777"/>
      <c r="AI1115" s="777"/>
      <c r="AJ1115" s="778"/>
      <c r="AK1115" s="776"/>
      <c r="AL1115" s="777"/>
      <c r="AM1115" s="777"/>
      <c r="AN1115" s="778"/>
      <c r="AO1115" s="776"/>
      <c r="AP1115" s="777"/>
      <c r="AQ1115" s="777"/>
      <c r="AR1115" s="780"/>
    </row>
    <row r="1116" spans="3:49" ht="18" customHeight="1">
      <c r="C1116" s="781" t="s">
        <v>940</v>
      </c>
      <c r="D1116" s="782"/>
      <c r="E1116" s="783"/>
      <c r="F1116" s="493" t="s">
        <v>105</v>
      </c>
      <c r="G1116" s="493"/>
      <c r="H1116" s="493"/>
      <c r="I1116" s="493"/>
      <c r="J1116" s="493"/>
      <c r="K1116" s="493"/>
      <c r="L1116" s="493"/>
      <c r="M1116" s="493"/>
      <c r="N1116" s="493"/>
      <c r="O1116" s="493"/>
      <c r="P1116" s="493"/>
      <c r="Q1116" s="493"/>
      <c r="R1116" s="493"/>
      <c r="S1116" s="493"/>
      <c r="T1116" s="493"/>
      <c r="U1116" s="493"/>
      <c r="V1116" s="493"/>
      <c r="W1116" s="493"/>
      <c r="X1116" s="493"/>
      <c r="Y1116" s="493"/>
      <c r="Z1116" s="493"/>
      <c r="AA1116" s="493"/>
      <c r="AB1116" s="493"/>
      <c r="AC1116" s="770"/>
      <c r="AD1116" s="771"/>
      <c r="AE1116" s="771"/>
      <c r="AF1116" s="790"/>
      <c r="AG1116" s="770">
        <v>15</v>
      </c>
      <c r="AH1116" s="771"/>
      <c r="AI1116" s="771"/>
      <c r="AJ1116" s="790"/>
      <c r="AK1116" s="449">
        <f>VLOOKUP(C1116,[4]MÃODEOBRA!A$1:D$65536,4,FALSE)</f>
        <v>22.98488</v>
      </c>
      <c r="AL1116" s="449"/>
      <c r="AM1116" s="449"/>
      <c r="AN1116" s="449"/>
      <c r="AO1116" s="491">
        <f>ROUND(AG1116*AK1116,2)</f>
        <v>344.77</v>
      </c>
      <c r="AP1116" s="491"/>
      <c r="AQ1116" s="491"/>
      <c r="AR1116" s="492"/>
    </row>
    <row r="1117" spans="3:49" ht="18" customHeight="1">
      <c r="C1117" s="758"/>
      <c r="D1117" s="759"/>
      <c r="E1117" s="760"/>
      <c r="F1117" s="493"/>
      <c r="G1117" s="493"/>
      <c r="H1117" s="493"/>
      <c r="I1117" s="493"/>
      <c r="J1117" s="493"/>
      <c r="K1117" s="493"/>
      <c r="L1117" s="493"/>
      <c r="M1117" s="493"/>
      <c r="N1117" s="493"/>
      <c r="O1117" s="493"/>
      <c r="P1117" s="493"/>
      <c r="Q1117" s="493"/>
      <c r="R1117" s="493"/>
      <c r="S1117" s="493"/>
      <c r="T1117" s="493"/>
      <c r="U1117" s="493"/>
      <c r="V1117" s="493"/>
      <c r="W1117" s="493"/>
      <c r="X1117" s="493"/>
      <c r="Y1117" s="493"/>
      <c r="Z1117" s="493"/>
      <c r="AA1117" s="493"/>
      <c r="AB1117" s="493"/>
      <c r="AC1117" s="740"/>
      <c r="AD1117" s="741"/>
      <c r="AE1117" s="741"/>
      <c r="AF1117" s="757"/>
      <c r="AG1117" s="740"/>
      <c r="AH1117" s="741"/>
      <c r="AI1117" s="741"/>
      <c r="AJ1117" s="757"/>
      <c r="AK1117" s="449"/>
      <c r="AL1117" s="449"/>
      <c r="AM1117" s="449"/>
      <c r="AN1117" s="449"/>
      <c r="AO1117" s="491"/>
      <c r="AP1117" s="491"/>
      <c r="AQ1117" s="491"/>
      <c r="AR1117" s="492"/>
    </row>
    <row r="1118" spans="3:49" ht="18" customHeight="1">
      <c r="C1118" s="758"/>
      <c r="D1118" s="759"/>
      <c r="E1118" s="760"/>
      <c r="F1118" s="796"/>
      <c r="G1118" s="797"/>
      <c r="H1118" s="797"/>
      <c r="I1118" s="797"/>
      <c r="J1118" s="797"/>
      <c r="K1118" s="797"/>
      <c r="L1118" s="797"/>
      <c r="M1118" s="797"/>
      <c r="N1118" s="797"/>
      <c r="O1118" s="797"/>
      <c r="P1118" s="797"/>
      <c r="Q1118" s="797"/>
      <c r="R1118" s="797"/>
      <c r="S1118" s="797"/>
      <c r="T1118" s="797"/>
      <c r="U1118" s="797"/>
      <c r="V1118" s="797"/>
      <c r="W1118" s="797"/>
      <c r="X1118" s="797"/>
      <c r="Y1118" s="797"/>
      <c r="Z1118" s="797"/>
      <c r="AA1118" s="797"/>
      <c r="AB1118" s="798"/>
      <c r="AC1118" s="740"/>
      <c r="AD1118" s="741"/>
      <c r="AE1118" s="741"/>
      <c r="AF1118" s="757"/>
      <c r="AG1118" s="740"/>
      <c r="AH1118" s="741"/>
      <c r="AI1118" s="741"/>
      <c r="AJ1118" s="757"/>
      <c r="AK1118" s="740"/>
      <c r="AL1118" s="741"/>
      <c r="AM1118" s="741"/>
      <c r="AN1118" s="757"/>
      <c r="AO1118" s="466"/>
      <c r="AP1118" s="467"/>
      <c r="AQ1118" s="467"/>
      <c r="AR1118" s="823"/>
    </row>
    <row r="1119" spans="3:49" ht="18" customHeight="1">
      <c r="C1119" s="758"/>
      <c r="D1119" s="759"/>
      <c r="E1119" s="760"/>
      <c r="F1119" s="796"/>
      <c r="G1119" s="797"/>
      <c r="H1119" s="797"/>
      <c r="I1119" s="797"/>
      <c r="J1119" s="797"/>
      <c r="K1119" s="797"/>
      <c r="L1119" s="797"/>
      <c r="M1119" s="797"/>
      <c r="N1119" s="797"/>
      <c r="O1119" s="797"/>
      <c r="P1119" s="797"/>
      <c r="Q1119" s="797"/>
      <c r="R1119" s="797"/>
      <c r="S1119" s="797"/>
      <c r="T1119" s="797"/>
      <c r="U1119" s="797"/>
      <c r="V1119" s="797"/>
      <c r="W1119" s="797"/>
      <c r="X1119" s="797"/>
      <c r="Y1119" s="797"/>
      <c r="Z1119" s="797"/>
      <c r="AA1119" s="797"/>
      <c r="AB1119" s="798"/>
      <c r="AC1119" s="740"/>
      <c r="AD1119" s="741"/>
      <c r="AE1119" s="741"/>
      <c r="AF1119" s="757"/>
      <c r="AG1119" s="740"/>
      <c r="AH1119" s="741"/>
      <c r="AI1119" s="741"/>
      <c r="AJ1119" s="757"/>
      <c r="AK1119" s="740"/>
      <c r="AL1119" s="741"/>
      <c r="AM1119" s="741"/>
      <c r="AN1119" s="757"/>
      <c r="AO1119" s="466"/>
      <c r="AP1119" s="467"/>
      <c r="AQ1119" s="467"/>
      <c r="AR1119" s="823"/>
    </row>
    <row r="1120" spans="3:49" ht="18" customHeight="1">
      <c r="C1120" s="758"/>
      <c r="D1120" s="759"/>
      <c r="E1120" s="760"/>
      <c r="F1120" s="796"/>
      <c r="G1120" s="797"/>
      <c r="H1120" s="797"/>
      <c r="I1120" s="797"/>
      <c r="J1120" s="797"/>
      <c r="K1120" s="797"/>
      <c r="L1120" s="797"/>
      <c r="M1120" s="797"/>
      <c r="N1120" s="797"/>
      <c r="O1120" s="797"/>
      <c r="P1120" s="797"/>
      <c r="Q1120" s="797"/>
      <c r="R1120" s="797"/>
      <c r="S1120" s="797"/>
      <c r="T1120" s="797"/>
      <c r="U1120" s="797"/>
      <c r="V1120" s="797"/>
      <c r="W1120" s="797"/>
      <c r="X1120" s="797"/>
      <c r="Y1120" s="797"/>
      <c r="Z1120" s="797"/>
      <c r="AA1120" s="797"/>
      <c r="AB1120" s="798"/>
      <c r="AC1120" s="740"/>
      <c r="AD1120" s="741"/>
      <c r="AE1120" s="741"/>
      <c r="AF1120" s="757"/>
      <c r="AG1120" s="740"/>
      <c r="AH1120" s="741"/>
      <c r="AI1120" s="741"/>
      <c r="AJ1120" s="757"/>
      <c r="AK1120" s="740"/>
      <c r="AL1120" s="741"/>
      <c r="AM1120" s="741"/>
      <c r="AN1120" s="757"/>
      <c r="AO1120" s="466"/>
      <c r="AP1120" s="467"/>
      <c r="AQ1120" s="467"/>
      <c r="AR1120" s="823"/>
    </row>
    <row r="1121" spans="3:44" ht="18" customHeight="1">
      <c r="C1121" s="758"/>
      <c r="D1121" s="759"/>
      <c r="E1121" s="760"/>
      <c r="F1121" s="796"/>
      <c r="G1121" s="797"/>
      <c r="H1121" s="797"/>
      <c r="I1121" s="797"/>
      <c r="J1121" s="797"/>
      <c r="K1121" s="797"/>
      <c r="L1121" s="797"/>
      <c r="M1121" s="797"/>
      <c r="N1121" s="797"/>
      <c r="O1121" s="797"/>
      <c r="P1121" s="797"/>
      <c r="Q1121" s="797"/>
      <c r="R1121" s="797"/>
      <c r="S1121" s="797"/>
      <c r="T1121" s="797"/>
      <c r="U1121" s="797"/>
      <c r="V1121" s="797"/>
      <c r="W1121" s="797"/>
      <c r="X1121" s="797"/>
      <c r="Y1121" s="797"/>
      <c r="Z1121" s="797"/>
      <c r="AA1121" s="797"/>
      <c r="AB1121" s="798"/>
      <c r="AC1121" s="740"/>
      <c r="AD1121" s="741"/>
      <c r="AE1121" s="741"/>
      <c r="AF1121" s="757"/>
      <c r="AG1121" s="740"/>
      <c r="AH1121" s="741"/>
      <c r="AI1121" s="741"/>
      <c r="AJ1121" s="757"/>
      <c r="AK1121" s="740"/>
      <c r="AL1121" s="741"/>
      <c r="AM1121" s="741"/>
      <c r="AN1121" s="757"/>
      <c r="AO1121" s="466"/>
      <c r="AP1121" s="467"/>
      <c r="AQ1121" s="467"/>
      <c r="AR1121" s="823"/>
    </row>
    <row r="1122" spans="3:44" ht="18" customHeight="1">
      <c r="C1122" s="758"/>
      <c r="D1122" s="759"/>
      <c r="E1122" s="760"/>
      <c r="F1122" s="796"/>
      <c r="G1122" s="797"/>
      <c r="H1122" s="797"/>
      <c r="I1122" s="797"/>
      <c r="J1122" s="797"/>
      <c r="K1122" s="797"/>
      <c r="L1122" s="797"/>
      <c r="M1122" s="797"/>
      <c r="N1122" s="797"/>
      <c r="O1122" s="797"/>
      <c r="P1122" s="797"/>
      <c r="Q1122" s="797"/>
      <c r="R1122" s="797"/>
      <c r="S1122" s="797"/>
      <c r="T1122" s="797"/>
      <c r="U1122" s="797"/>
      <c r="V1122" s="797"/>
      <c r="W1122" s="797"/>
      <c r="X1122" s="797"/>
      <c r="Y1122" s="797"/>
      <c r="Z1122" s="797"/>
      <c r="AA1122" s="797"/>
      <c r="AB1122" s="798"/>
      <c r="AC1122" s="740"/>
      <c r="AD1122" s="741"/>
      <c r="AE1122" s="741"/>
      <c r="AF1122" s="757"/>
      <c r="AG1122" s="740"/>
      <c r="AH1122" s="741"/>
      <c r="AI1122" s="741"/>
      <c r="AJ1122" s="757"/>
      <c r="AK1122" s="740"/>
      <c r="AL1122" s="741"/>
      <c r="AM1122" s="741"/>
      <c r="AN1122" s="757"/>
      <c r="AO1122" s="466"/>
      <c r="AP1122" s="467"/>
      <c r="AQ1122" s="467"/>
      <c r="AR1122" s="823"/>
    </row>
    <row r="1123" spans="3:44" ht="18" customHeight="1">
      <c r="C1123" s="758"/>
      <c r="D1123" s="759"/>
      <c r="E1123" s="760"/>
      <c r="F1123" s="796"/>
      <c r="G1123" s="797"/>
      <c r="H1123" s="797"/>
      <c r="I1123" s="797"/>
      <c r="J1123" s="797"/>
      <c r="K1123" s="797"/>
      <c r="L1123" s="797"/>
      <c r="M1123" s="797"/>
      <c r="N1123" s="797"/>
      <c r="O1123" s="797"/>
      <c r="P1123" s="797"/>
      <c r="Q1123" s="797"/>
      <c r="R1123" s="797"/>
      <c r="S1123" s="797"/>
      <c r="T1123" s="797"/>
      <c r="U1123" s="797"/>
      <c r="V1123" s="797"/>
      <c r="W1123" s="797"/>
      <c r="X1123" s="797"/>
      <c r="Y1123" s="797"/>
      <c r="Z1123" s="797"/>
      <c r="AA1123" s="797"/>
      <c r="AB1123" s="798"/>
      <c r="AC1123" s="740"/>
      <c r="AD1123" s="741"/>
      <c r="AE1123" s="741"/>
      <c r="AF1123" s="757"/>
      <c r="AG1123" s="740"/>
      <c r="AH1123" s="741"/>
      <c r="AI1123" s="741"/>
      <c r="AJ1123" s="757"/>
      <c r="AK1123" s="740"/>
      <c r="AL1123" s="741"/>
      <c r="AM1123" s="741"/>
      <c r="AN1123" s="757"/>
      <c r="AO1123" s="466"/>
      <c r="AP1123" s="467"/>
      <c r="AQ1123" s="467"/>
      <c r="AR1123" s="823"/>
    </row>
    <row r="1124" spans="3:44" ht="18" customHeight="1">
      <c r="C1124" s="814"/>
      <c r="D1124" s="815"/>
      <c r="E1124" s="815"/>
      <c r="F1124" s="815"/>
      <c r="G1124" s="815"/>
      <c r="H1124" s="815"/>
      <c r="I1124" s="815"/>
      <c r="J1124" s="815"/>
      <c r="K1124" s="815"/>
      <c r="L1124" s="815"/>
      <c r="M1124" s="815"/>
      <c r="N1124" s="815"/>
      <c r="O1124" s="815"/>
      <c r="P1124" s="815"/>
      <c r="Q1124" s="815"/>
      <c r="R1124" s="815"/>
      <c r="S1124" s="815"/>
      <c r="T1124" s="815"/>
      <c r="U1124" s="815"/>
      <c r="V1124" s="815"/>
      <c r="W1124" s="815"/>
      <c r="X1124" s="815"/>
      <c r="Y1124" s="816" t="s">
        <v>78</v>
      </c>
      <c r="Z1124" s="816"/>
      <c r="AA1124" s="816"/>
      <c r="AB1124" s="816"/>
      <c r="AC1124" s="816"/>
      <c r="AD1124" s="816"/>
      <c r="AE1124" s="816"/>
      <c r="AF1124" s="483"/>
      <c r="AG1124" s="817" t="s">
        <v>413</v>
      </c>
      <c r="AH1124" s="818"/>
      <c r="AI1124" s="818"/>
      <c r="AJ1124" s="819"/>
      <c r="AK1124" s="466">
        <f>SUM(AO1116:AR1123)</f>
        <v>344.77</v>
      </c>
      <c r="AL1124" s="467"/>
      <c r="AM1124" s="467"/>
      <c r="AN1124" s="468"/>
      <c r="AO1124" s="820">
        <f>ROUND(AG1124*AK1124,2)</f>
        <v>53.47</v>
      </c>
      <c r="AP1124" s="821"/>
      <c r="AQ1124" s="821"/>
      <c r="AR1124" s="822"/>
    </row>
    <row r="1125" spans="3:44" ht="18" customHeight="1">
      <c r="C1125" s="743"/>
      <c r="D1125" s="744"/>
      <c r="E1125" s="744"/>
      <c r="F1125" s="744"/>
      <c r="G1125" s="744"/>
      <c r="H1125" s="744"/>
      <c r="I1125" s="744"/>
      <c r="J1125" s="744"/>
      <c r="K1125" s="744"/>
      <c r="L1125" s="744"/>
      <c r="M1125" s="744"/>
      <c r="N1125" s="744"/>
      <c r="O1125" s="744"/>
      <c r="P1125" s="744"/>
      <c r="Q1125" s="744"/>
      <c r="R1125" s="744"/>
      <c r="S1125" s="744"/>
      <c r="T1125" s="744"/>
      <c r="U1125" s="744"/>
      <c r="V1125" s="744"/>
      <c r="W1125" s="744"/>
      <c r="X1125" s="744"/>
      <c r="Y1125" s="745" t="s">
        <v>79</v>
      </c>
      <c r="Z1125" s="745"/>
      <c r="AA1125" s="745"/>
      <c r="AB1125" s="745"/>
      <c r="AC1125" s="745"/>
      <c r="AD1125" s="745"/>
      <c r="AE1125" s="745"/>
      <c r="AF1125" s="745"/>
      <c r="AG1125" s="745"/>
      <c r="AH1125" s="745"/>
      <c r="AI1125" s="745"/>
      <c r="AJ1125" s="745"/>
      <c r="AK1125" s="745"/>
      <c r="AL1125" s="745"/>
      <c r="AM1125" s="745"/>
      <c r="AN1125" s="430"/>
      <c r="AO1125" s="477">
        <f>SUM(AO1116:AR1124)</f>
        <v>398.24</v>
      </c>
      <c r="AP1125" s="746"/>
      <c r="AQ1125" s="746"/>
      <c r="AR1125" s="747"/>
    </row>
    <row r="1127" spans="3:44" ht="18" customHeight="1">
      <c r="C1127" s="802"/>
      <c r="D1127" s="803"/>
      <c r="E1127" s="803"/>
      <c r="F1127" s="803"/>
      <c r="G1127" s="803"/>
      <c r="H1127" s="803"/>
      <c r="I1127" s="803"/>
      <c r="J1127" s="803"/>
      <c r="K1127" s="803"/>
      <c r="L1127" s="803"/>
      <c r="M1127" s="803"/>
      <c r="N1127" s="803"/>
      <c r="O1127" s="803"/>
      <c r="P1127" s="803"/>
      <c r="Q1127" s="803"/>
      <c r="R1127" s="803"/>
      <c r="S1127" s="803"/>
      <c r="T1127" s="803"/>
      <c r="U1127" s="803"/>
      <c r="V1127" s="803"/>
      <c r="W1127" s="803"/>
      <c r="X1127" s="803"/>
      <c r="Y1127" s="804" t="s">
        <v>80</v>
      </c>
      <c r="Z1127" s="805"/>
      <c r="AA1127" s="805"/>
      <c r="AB1127" s="805"/>
      <c r="AC1127" s="805"/>
      <c r="AD1127" s="805"/>
      <c r="AE1127" s="805"/>
      <c r="AF1127" s="805"/>
      <c r="AG1127" s="805"/>
      <c r="AH1127" s="805"/>
      <c r="AI1127" s="805"/>
      <c r="AJ1127" s="805"/>
      <c r="AK1127" s="805"/>
      <c r="AL1127" s="805"/>
      <c r="AM1127" s="805"/>
      <c r="AN1127" s="806"/>
      <c r="AO1127" s="807">
        <f>AO1112+AO1125</f>
        <v>464.92</v>
      </c>
      <c r="AP1127" s="808"/>
      <c r="AQ1127" s="808"/>
      <c r="AR1127" s="809"/>
    </row>
    <row r="1128" spans="3:44" ht="18" customHeight="1">
      <c r="C1128" s="810" t="s">
        <v>81</v>
      </c>
      <c r="D1128" s="745"/>
      <c r="E1128" s="745"/>
      <c r="F1128" s="745"/>
      <c r="G1128" s="745"/>
      <c r="H1128" s="745"/>
      <c r="I1128" s="745"/>
      <c r="J1128" s="745"/>
      <c r="K1128" s="745"/>
      <c r="L1128" s="745"/>
      <c r="M1128" s="745"/>
      <c r="N1128" s="745"/>
      <c r="O1128" s="745"/>
      <c r="P1128" s="430"/>
      <c r="Q1128" s="477">
        <v>1</v>
      </c>
      <c r="R1128" s="746"/>
      <c r="S1128" s="746"/>
      <c r="T1128" s="746"/>
      <c r="U1128" s="746"/>
      <c r="V1128" s="745" t="s">
        <v>194</v>
      </c>
      <c r="W1128" s="745"/>
      <c r="X1128" s="430"/>
      <c r="Y1128" s="804" t="s">
        <v>82</v>
      </c>
      <c r="Z1128" s="805"/>
      <c r="AA1128" s="805"/>
      <c r="AB1128" s="805"/>
      <c r="AC1128" s="805"/>
      <c r="AD1128" s="805"/>
      <c r="AE1128" s="805"/>
      <c r="AF1128" s="805"/>
      <c r="AG1128" s="805"/>
      <c r="AH1128" s="805"/>
      <c r="AI1128" s="805"/>
      <c r="AJ1128" s="805"/>
      <c r="AK1128" s="805"/>
      <c r="AL1128" s="805"/>
      <c r="AM1128" s="805"/>
      <c r="AN1128" s="806"/>
      <c r="AO1128" s="811">
        <f>ROUND(AO1127/Q1128,2)</f>
        <v>464.92</v>
      </c>
      <c r="AP1128" s="812"/>
      <c r="AQ1128" s="812"/>
      <c r="AR1128" s="813"/>
    </row>
    <row r="1130" spans="3:44" ht="18" customHeight="1">
      <c r="C1130" s="794" t="s">
        <v>43</v>
      </c>
      <c r="D1130" s="774"/>
      <c r="E1130" s="775"/>
      <c r="F1130" s="773" t="s">
        <v>83</v>
      </c>
      <c r="G1130" s="774"/>
      <c r="H1130" s="774"/>
      <c r="I1130" s="774"/>
      <c r="J1130" s="774"/>
      <c r="K1130" s="774"/>
      <c r="L1130" s="774"/>
      <c r="M1130" s="774"/>
      <c r="N1130" s="774"/>
      <c r="O1130" s="774"/>
      <c r="P1130" s="774"/>
      <c r="Q1130" s="774"/>
      <c r="R1130" s="774"/>
      <c r="S1130" s="774"/>
      <c r="T1130" s="774"/>
      <c r="U1130" s="774"/>
      <c r="V1130" s="774"/>
      <c r="W1130" s="774"/>
      <c r="X1130" s="774"/>
      <c r="Y1130" s="774"/>
      <c r="Z1130" s="774"/>
      <c r="AA1130" s="774"/>
      <c r="AB1130" s="775"/>
      <c r="AC1130" s="773" t="s">
        <v>84</v>
      </c>
      <c r="AD1130" s="774"/>
      <c r="AE1130" s="774"/>
      <c r="AF1130" s="775"/>
      <c r="AG1130" s="773" t="s">
        <v>85</v>
      </c>
      <c r="AH1130" s="774"/>
      <c r="AI1130" s="774"/>
      <c r="AJ1130" s="775"/>
      <c r="AK1130" s="773" t="s">
        <v>86</v>
      </c>
      <c r="AL1130" s="774"/>
      <c r="AM1130" s="774"/>
      <c r="AN1130" s="775"/>
      <c r="AO1130" s="773" t="s">
        <v>87</v>
      </c>
      <c r="AP1130" s="774"/>
      <c r="AQ1130" s="774"/>
      <c r="AR1130" s="779"/>
    </row>
    <row r="1131" spans="3:44" ht="18" customHeight="1">
      <c r="C1131" s="795"/>
      <c r="D1131" s="777"/>
      <c r="E1131" s="778"/>
      <c r="F1131" s="776"/>
      <c r="G1131" s="777"/>
      <c r="H1131" s="777"/>
      <c r="I1131" s="777"/>
      <c r="J1131" s="777"/>
      <c r="K1131" s="777"/>
      <c r="L1131" s="777"/>
      <c r="M1131" s="777"/>
      <c r="N1131" s="777"/>
      <c r="O1131" s="777"/>
      <c r="P1131" s="777"/>
      <c r="Q1131" s="777"/>
      <c r="R1131" s="777"/>
      <c r="S1131" s="777"/>
      <c r="T1131" s="777"/>
      <c r="U1131" s="777"/>
      <c r="V1131" s="777"/>
      <c r="W1131" s="777"/>
      <c r="X1131" s="777"/>
      <c r="Y1131" s="777"/>
      <c r="Z1131" s="777"/>
      <c r="AA1131" s="777"/>
      <c r="AB1131" s="778"/>
      <c r="AC1131" s="776"/>
      <c r="AD1131" s="777"/>
      <c r="AE1131" s="777"/>
      <c r="AF1131" s="778"/>
      <c r="AG1131" s="776"/>
      <c r="AH1131" s="777"/>
      <c r="AI1131" s="777"/>
      <c r="AJ1131" s="778"/>
      <c r="AK1131" s="776"/>
      <c r="AL1131" s="777"/>
      <c r="AM1131" s="777"/>
      <c r="AN1131" s="778"/>
      <c r="AO1131" s="776"/>
      <c r="AP1131" s="777"/>
      <c r="AQ1131" s="777"/>
      <c r="AR1131" s="780"/>
    </row>
    <row r="1132" spans="3:44" ht="18" customHeight="1">
      <c r="C1132" s="758" t="s">
        <v>1377</v>
      </c>
      <c r="D1132" s="759"/>
      <c r="E1132" s="760"/>
      <c r="F1132" s="796" t="s">
        <v>417</v>
      </c>
      <c r="G1132" s="797"/>
      <c r="H1132" s="797"/>
      <c r="I1132" s="797"/>
      <c r="J1132" s="797"/>
      <c r="K1132" s="797"/>
      <c r="L1132" s="797"/>
      <c r="M1132" s="797"/>
      <c r="N1132" s="797"/>
      <c r="O1132" s="797"/>
      <c r="P1132" s="797"/>
      <c r="Q1132" s="797"/>
      <c r="R1132" s="797"/>
      <c r="S1132" s="797"/>
      <c r="T1132" s="797"/>
      <c r="U1132" s="797"/>
      <c r="V1132" s="797"/>
      <c r="W1132" s="797"/>
      <c r="X1132" s="797"/>
      <c r="Y1132" s="797"/>
      <c r="Z1132" s="797"/>
      <c r="AA1132" s="797"/>
      <c r="AB1132" s="798"/>
      <c r="AC1132" s="799" t="s">
        <v>245</v>
      </c>
      <c r="AD1132" s="800"/>
      <c r="AE1132" s="800"/>
      <c r="AF1132" s="801"/>
      <c r="AG1132" s="466">
        <f>TRUNC(373.21/1.2031,2)</f>
        <v>310.2</v>
      </c>
      <c r="AH1132" s="467"/>
      <c r="AI1132" s="467"/>
      <c r="AJ1132" s="468"/>
      <c r="AK1132" s="737">
        <v>10</v>
      </c>
      <c r="AL1132" s="738"/>
      <c r="AM1132" s="738"/>
      <c r="AN1132" s="739"/>
      <c r="AO1132" s="740">
        <f>ROUND(AG1132*AK1132,2)</f>
        <v>3102</v>
      </c>
      <c r="AP1132" s="741"/>
      <c r="AQ1132" s="741"/>
      <c r="AR1132" s="742"/>
    </row>
    <row r="1133" spans="3:44" ht="18" customHeight="1">
      <c r="C1133" s="758" t="s">
        <v>1376</v>
      </c>
      <c r="D1133" s="759"/>
      <c r="E1133" s="760"/>
      <c r="F1133" s="796" t="s">
        <v>370</v>
      </c>
      <c r="G1133" s="797"/>
      <c r="H1133" s="797"/>
      <c r="I1133" s="797"/>
      <c r="J1133" s="797"/>
      <c r="K1133" s="797"/>
      <c r="L1133" s="797"/>
      <c r="M1133" s="797"/>
      <c r="N1133" s="797"/>
      <c r="O1133" s="797"/>
      <c r="P1133" s="797"/>
      <c r="Q1133" s="797"/>
      <c r="R1133" s="797"/>
      <c r="S1133" s="797"/>
      <c r="T1133" s="797"/>
      <c r="U1133" s="797"/>
      <c r="V1133" s="797"/>
      <c r="W1133" s="797"/>
      <c r="X1133" s="797"/>
      <c r="Y1133" s="797"/>
      <c r="Z1133" s="797"/>
      <c r="AA1133" s="797"/>
      <c r="AB1133" s="798"/>
      <c r="AC1133" s="799" t="s">
        <v>309</v>
      </c>
      <c r="AD1133" s="800"/>
      <c r="AE1133" s="800"/>
      <c r="AF1133" s="801"/>
      <c r="AG1133" s="466">
        <f>TRUNC(43.8/1.2031,2)</f>
        <v>36.4</v>
      </c>
      <c r="AH1133" s="467"/>
      <c r="AI1133" s="467"/>
      <c r="AJ1133" s="468"/>
      <c r="AK1133" s="737">
        <v>46</v>
      </c>
      <c r="AL1133" s="738"/>
      <c r="AM1133" s="738"/>
      <c r="AN1133" s="739"/>
      <c r="AO1133" s="740">
        <f>ROUND(AG1133*AK1133,2)</f>
        <v>1674.4</v>
      </c>
      <c r="AP1133" s="741"/>
      <c r="AQ1133" s="741"/>
      <c r="AR1133" s="742"/>
    </row>
    <row r="1134" spans="3:44" ht="18" customHeight="1">
      <c r="C1134" s="758"/>
      <c r="D1134" s="759"/>
      <c r="E1134" s="760"/>
      <c r="F1134" s="796"/>
      <c r="G1134" s="797"/>
      <c r="H1134" s="797"/>
      <c r="I1134" s="797"/>
      <c r="J1134" s="797"/>
      <c r="K1134" s="797"/>
      <c r="L1134" s="797"/>
      <c r="M1134" s="797"/>
      <c r="N1134" s="797"/>
      <c r="O1134" s="797"/>
      <c r="P1134" s="797"/>
      <c r="Q1134" s="797"/>
      <c r="R1134" s="797"/>
      <c r="S1134" s="797"/>
      <c r="T1134" s="797"/>
      <c r="U1134" s="797"/>
      <c r="V1134" s="797"/>
      <c r="W1134" s="797"/>
      <c r="X1134" s="797"/>
      <c r="Y1134" s="797"/>
      <c r="Z1134" s="797"/>
      <c r="AA1134" s="797"/>
      <c r="AB1134" s="798"/>
      <c r="AC1134" s="799"/>
      <c r="AD1134" s="800"/>
      <c r="AE1134" s="800"/>
      <c r="AF1134" s="801"/>
      <c r="AG1134" s="466"/>
      <c r="AH1134" s="467"/>
      <c r="AI1134" s="467"/>
      <c r="AJ1134" s="468"/>
      <c r="AK1134" s="737"/>
      <c r="AL1134" s="738"/>
      <c r="AM1134" s="738"/>
      <c r="AN1134" s="739"/>
      <c r="AO1134" s="740"/>
      <c r="AP1134" s="741"/>
      <c r="AQ1134" s="741"/>
      <c r="AR1134" s="742"/>
    </row>
    <row r="1135" spans="3:44" ht="18" customHeight="1">
      <c r="C1135" s="758"/>
      <c r="D1135" s="759"/>
      <c r="E1135" s="760"/>
      <c r="F1135" s="796"/>
      <c r="G1135" s="797"/>
      <c r="H1135" s="797"/>
      <c r="I1135" s="797"/>
      <c r="J1135" s="797"/>
      <c r="K1135" s="797"/>
      <c r="L1135" s="797"/>
      <c r="M1135" s="797"/>
      <c r="N1135" s="797"/>
      <c r="O1135" s="797"/>
      <c r="P1135" s="797"/>
      <c r="Q1135" s="797"/>
      <c r="R1135" s="797"/>
      <c r="S1135" s="797"/>
      <c r="T1135" s="797"/>
      <c r="U1135" s="797"/>
      <c r="V1135" s="797"/>
      <c r="W1135" s="797"/>
      <c r="X1135" s="797"/>
      <c r="Y1135" s="797"/>
      <c r="Z1135" s="797"/>
      <c r="AA1135" s="797"/>
      <c r="AB1135" s="798"/>
      <c r="AC1135" s="799"/>
      <c r="AD1135" s="800"/>
      <c r="AE1135" s="800"/>
      <c r="AF1135" s="801"/>
      <c r="AG1135" s="466"/>
      <c r="AH1135" s="467"/>
      <c r="AI1135" s="467"/>
      <c r="AJ1135" s="468"/>
      <c r="AK1135" s="737"/>
      <c r="AL1135" s="738"/>
      <c r="AM1135" s="738"/>
      <c r="AN1135" s="739"/>
      <c r="AO1135" s="740"/>
      <c r="AP1135" s="741"/>
      <c r="AQ1135" s="741"/>
      <c r="AR1135" s="742"/>
    </row>
    <row r="1136" spans="3:44" ht="18" customHeight="1">
      <c r="C1136" s="758"/>
      <c r="D1136" s="759"/>
      <c r="E1136" s="760"/>
      <c r="F1136" s="796"/>
      <c r="G1136" s="797"/>
      <c r="H1136" s="797"/>
      <c r="I1136" s="797"/>
      <c r="J1136" s="797"/>
      <c r="K1136" s="797"/>
      <c r="L1136" s="797"/>
      <c r="M1136" s="797"/>
      <c r="N1136" s="797"/>
      <c r="O1136" s="797"/>
      <c r="P1136" s="797"/>
      <c r="Q1136" s="797"/>
      <c r="R1136" s="797"/>
      <c r="S1136" s="797"/>
      <c r="T1136" s="797"/>
      <c r="U1136" s="797"/>
      <c r="V1136" s="797"/>
      <c r="W1136" s="797"/>
      <c r="X1136" s="797"/>
      <c r="Y1136" s="797"/>
      <c r="Z1136" s="797"/>
      <c r="AA1136" s="797"/>
      <c r="AB1136" s="798"/>
      <c r="AC1136" s="799"/>
      <c r="AD1136" s="800"/>
      <c r="AE1136" s="800"/>
      <c r="AF1136" s="801"/>
      <c r="AG1136" s="466"/>
      <c r="AH1136" s="467"/>
      <c r="AI1136" s="467"/>
      <c r="AJ1136" s="468"/>
      <c r="AK1136" s="737"/>
      <c r="AL1136" s="738"/>
      <c r="AM1136" s="738"/>
      <c r="AN1136" s="739"/>
      <c r="AO1136" s="740"/>
      <c r="AP1136" s="741"/>
      <c r="AQ1136" s="741"/>
      <c r="AR1136" s="742"/>
    </row>
    <row r="1137" spans="3:44" ht="18" customHeight="1">
      <c r="C1137" s="758"/>
      <c r="D1137" s="759"/>
      <c r="E1137" s="760"/>
      <c r="F1137" s="796"/>
      <c r="G1137" s="797"/>
      <c r="H1137" s="797"/>
      <c r="I1137" s="797"/>
      <c r="J1137" s="797"/>
      <c r="K1137" s="797"/>
      <c r="L1137" s="797"/>
      <c r="M1137" s="797"/>
      <c r="N1137" s="797"/>
      <c r="O1137" s="797"/>
      <c r="P1137" s="797"/>
      <c r="Q1137" s="797"/>
      <c r="R1137" s="797"/>
      <c r="S1137" s="797"/>
      <c r="T1137" s="797"/>
      <c r="U1137" s="797"/>
      <c r="V1137" s="797"/>
      <c r="W1137" s="797"/>
      <c r="X1137" s="797"/>
      <c r="Y1137" s="797"/>
      <c r="Z1137" s="797"/>
      <c r="AA1137" s="797"/>
      <c r="AB1137" s="798"/>
      <c r="AC1137" s="799"/>
      <c r="AD1137" s="800"/>
      <c r="AE1137" s="800"/>
      <c r="AF1137" s="801"/>
      <c r="AG1137" s="466"/>
      <c r="AH1137" s="467"/>
      <c r="AI1137" s="467"/>
      <c r="AJ1137" s="468"/>
      <c r="AK1137" s="737"/>
      <c r="AL1137" s="738"/>
      <c r="AM1137" s="738"/>
      <c r="AN1137" s="739"/>
      <c r="AO1137" s="740"/>
      <c r="AP1137" s="741"/>
      <c r="AQ1137" s="741"/>
      <c r="AR1137" s="742"/>
    </row>
    <row r="1138" spans="3:44" ht="18" customHeight="1">
      <c r="C1138" s="758"/>
      <c r="D1138" s="759"/>
      <c r="E1138" s="760"/>
      <c r="F1138" s="796"/>
      <c r="G1138" s="797"/>
      <c r="H1138" s="797"/>
      <c r="I1138" s="797"/>
      <c r="J1138" s="797"/>
      <c r="K1138" s="797"/>
      <c r="L1138" s="797"/>
      <c r="M1138" s="797"/>
      <c r="N1138" s="797"/>
      <c r="O1138" s="797"/>
      <c r="P1138" s="797"/>
      <c r="Q1138" s="797"/>
      <c r="R1138" s="797"/>
      <c r="S1138" s="797"/>
      <c r="T1138" s="797"/>
      <c r="U1138" s="797"/>
      <c r="V1138" s="797"/>
      <c r="W1138" s="797"/>
      <c r="X1138" s="797"/>
      <c r="Y1138" s="797"/>
      <c r="Z1138" s="797"/>
      <c r="AA1138" s="797"/>
      <c r="AB1138" s="798"/>
      <c r="AC1138" s="799"/>
      <c r="AD1138" s="800"/>
      <c r="AE1138" s="800"/>
      <c r="AF1138" s="801"/>
      <c r="AG1138" s="466"/>
      <c r="AH1138" s="467"/>
      <c r="AI1138" s="467"/>
      <c r="AJ1138" s="468"/>
      <c r="AK1138" s="737"/>
      <c r="AL1138" s="738"/>
      <c r="AM1138" s="738"/>
      <c r="AN1138" s="739"/>
      <c r="AO1138" s="740"/>
      <c r="AP1138" s="741"/>
      <c r="AQ1138" s="741"/>
      <c r="AR1138" s="742"/>
    </row>
    <row r="1139" spans="3:44" ht="18" customHeight="1">
      <c r="C1139" s="758"/>
      <c r="D1139" s="759"/>
      <c r="E1139" s="760"/>
      <c r="F1139" s="796"/>
      <c r="G1139" s="797"/>
      <c r="H1139" s="797"/>
      <c r="I1139" s="797"/>
      <c r="J1139" s="797"/>
      <c r="K1139" s="797"/>
      <c r="L1139" s="797"/>
      <c r="M1139" s="797"/>
      <c r="N1139" s="797"/>
      <c r="O1139" s="797"/>
      <c r="P1139" s="797"/>
      <c r="Q1139" s="797"/>
      <c r="R1139" s="797"/>
      <c r="S1139" s="797"/>
      <c r="T1139" s="797"/>
      <c r="U1139" s="797"/>
      <c r="V1139" s="797"/>
      <c r="W1139" s="797"/>
      <c r="X1139" s="797"/>
      <c r="Y1139" s="797"/>
      <c r="Z1139" s="797"/>
      <c r="AA1139" s="797"/>
      <c r="AB1139" s="798"/>
      <c r="AC1139" s="799"/>
      <c r="AD1139" s="800"/>
      <c r="AE1139" s="800"/>
      <c r="AF1139" s="801"/>
      <c r="AG1139" s="466"/>
      <c r="AH1139" s="467"/>
      <c r="AI1139" s="467"/>
      <c r="AJ1139" s="468"/>
      <c r="AK1139" s="737"/>
      <c r="AL1139" s="738"/>
      <c r="AM1139" s="738"/>
      <c r="AN1139" s="739"/>
      <c r="AO1139" s="740"/>
      <c r="AP1139" s="741"/>
      <c r="AQ1139" s="741"/>
      <c r="AR1139" s="742"/>
    </row>
    <row r="1140" spans="3:44" ht="18" customHeight="1">
      <c r="C1140" s="743"/>
      <c r="D1140" s="744"/>
      <c r="E1140" s="744"/>
      <c r="F1140" s="744"/>
      <c r="G1140" s="744"/>
      <c r="H1140" s="744"/>
      <c r="I1140" s="744"/>
      <c r="J1140" s="744"/>
      <c r="K1140" s="744"/>
      <c r="L1140" s="744"/>
      <c r="M1140" s="744"/>
      <c r="N1140" s="744"/>
      <c r="O1140" s="744"/>
      <c r="P1140" s="744"/>
      <c r="Q1140" s="744"/>
      <c r="R1140" s="744"/>
      <c r="S1140" s="744"/>
      <c r="T1140" s="744"/>
      <c r="U1140" s="744"/>
      <c r="V1140" s="744"/>
      <c r="W1140" s="744"/>
      <c r="X1140" s="744"/>
      <c r="Y1140" s="745" t="s">
        <v>88</v>
      </c>
      <c r="Z1140" s="745"/>
      <c r="AA1140" s="745"/>
      <c r="AB1140" s="745"/>
      <c r="AC1140" s="745"/>
      <c r="AD1140" s="745"/>
      <c r="AE1140" s="745"/>
      <c r="AF1140" s="745"/>
      <c r="AG1140" s="745"/>
      <c r="AH1140" s="745"/>
      <c r="AI1140" s="745"/>
      <c r="AJ1140" s="745"/>
      <c r="AK1140" s="745"/>
      <c r="AL1140" s="745"/>
      <c r="AM1140" s="745"/>
      <c r="AN1140" s="430"/>
      <c r="AO1140" s="477">
        <f>SUM(AO1132:AR1139)</f>
        <v>4776.3999999999996</v>
      </c>
      <c r="AP1140" s="746"/>
      <c r="AQ1140" s="746"/>
      <c r="AR1140" s="747"/>
    </row>
    <row r="1142" spans="3:44" ht="18" customHeight="1">
      <c r="C1142" s="794" t="s">
        <v>43</v>
      </c>
      <c r="D1142" s="774"/>
      <c r="E1142" s="775"/>
      <c r="F1142" s="773" t="s">
        <v>89</v>
      </c>
      <c r="G1142" s="774"/>
      <c r="H1142" s="774"/>
      <c r="I1142" s="774"/>
      <c r="J1142" s="774"/>
      <c r="K1142" s="774"/>
      <c r="L1142" s="774"/>
      <c r="M1142" s="774"/>
      <c r="N1142" s="774"/>
      <c r="O1142" s="774"/>
      <c r="P1142" s="774"/>
      <c r="Q1142" s="774"/>
      <c r="R1142" s="775"/>
      <c r="S1142" s="773" t="s">
        <v>90</v>
      </c>
      <c r="T1142" s="774"/>
      <c r="U1142" s="775"/>
      <c r="V1142" s="773" t="s">
        <v>91</v>
      </c>
      <c r="W1142" s="774"/>
      <c r="X1142" s="775"/>
      <c r="Y1142" s="773" t="s">
        <v>92</v>
      </c>
      <c r="Z1142" s="774"/>
      <c r="AA1142" s="774"/>
      <c r="AB1142" s="774"/>
      <c r="AC1142" s="774"/>
      <c r="AD1142" s="775"/>
      <c r="AE1142" s="773" t="s">
        <v>93</v>
      </c>
      <c r="AF1142" s="774"/>
      <c r="AG1142" s="775"/>
      <c r="AH1142" s="773" t="s">
        <v>94</v>
      </c>
      <c r="AI1142" s="774"/>
      <c r="AJ1142" s="775"/>
      <c r="AK1142" s="773" t="s">
        <v>86</v>
      </c>
      <c r="AL1142" s="774"/>
      <c r="AM1142" s="774"/>
      <c r="AN1142" s="775"/>
      <c r="AO1142" s="773" t="s">
        <v>87</v>
      </c>
      <c r="AP1142" s="774"/>
      <c r="AQ1142" s="774"/>
      <c r="AR1142" s="779"/>
    </row>
    <row r="1143" spans="3:44" ht="18" customHeight="1">
      <c r="C1143" s="795"/>
      <c r="D1143" s="777"/>
      <c r="E1143" s="778"/>
      <c r="F1143" s="776"/>
      <c r="G1143" s="777"/>
      <c r="H1143" s="777"/>
      <c r="I1143" s="777"/>
      <c r="J1143" s="777"/>
      <c r="K1143" s="777"/>
      <c r="L1143" s="777"/>
      <c r="M1143" s="777"/>
      <c r="N1143" s="777"/>
      <c r="O1143" s="777"/>
      <c r="P1143" s="777"/>
      <c r="Q1143" s="777"/>
      <c r="R1143" s="778"/>
      <c r="S1143" s="776"/>
      <c r="T1143" s="777"/>
      <c r="U1143" s="778"/>
      <c r="V1143" s="776"/>
      <c r="W1143" s="777"/>
      <c r="X1143" s="778"/>
      <c r="Y1143" s="776"/>
      <c r="Z1143" s="777"/>
      <c r="AA1143" s="777"/>
      <c r="AB1143" s="777"/>
      <c r="AC1143" s="777"/>
      <c r="AD1143" s="778"/>
      <c r="AE1143" s="776"/>
      <c r="AF1143" s="777"/>
      <c r="AG1143" s="778"/>
      <c r="AH1143" s="776"/>
      <c r="AI1143" s="777"/>
      <c r="AJ1143" s="778"/>
      <c r="AK1143" s="776"/>
      <c r="AL1143" s="777"/>
      <c r="AM1143" s="777"/>
      <c r="AN1143" s="778"/>
      <c r="AO1143" s="776"/>
      <c r="AP1143" s="777"/>
      <c r="AQ1143" s="777"/>
      <c r="AR1143" s="780"/>
    </row>
    <row r="1144" spans="3:44" ht="18" customHeight="1">
      <c r="C1144" s="781"/>
      <c r="D1144" s="782"/>
      <c r="E1144" s="783"/>
      <c r="F1144" s="457"/>
      <c r="G1144" s="457"/>
      <c r="H1144" s="457"/>
      <c r="I1144" s="457"/>
      <c r="J1144" s="457"/>
      <c r="K1144" s="457"/>
      <c r="L1144" s="457"/>
      <c r="M1144" s="457"/>
      <c r="N1144" s="457"/>
      <c r="O1144" s="457"/>
      <c r="P1144" s="457"/>
      <c r="Q1144" s="457"/>
      <c r="R1144" s="457"/>
      <c r="S1144" s="784"/>
      <c r="T1144" s="785"/>
      <c r="U1144" s="786"/>
      <c r="V1144" s="784"/>
      <c r="W1144" s="785"/>
      <c r="X1144" s="786"/>
      <c r="Y1144" s="787"/>
      <c r="Z1144" s="788"/>
      <c r="AA1144" s="788"/>
      <c r="AB1144" s="788"/>
      <c r="AC1144" s="788"/>
      <c r="AD1144" s="789"/>
      <c r="AE1144" s="449"/>
      <c r="AF1144" s="449"/>
      <c r="AG1144" s="449"/>
      <c r="AH1144" s="770"/>
      <c r="AI1144" s="771"/>
      <c r="AJ1144" s="790"/>
      <c r="AK1144" s="791"/>
      <c r="AL1144" s="792"/>
      <c r="AM1144" s="792"/>
      <c r="AN1144" s="793"/>
      <c r="AO1144" s="770"/>
      <c r="AP1144" s="771"/>
      <c r="AQ1144" s="771"/>
      <c r="AR1144" s="772"/>
    </row>
    <row r="1145" spans="3:44" ht="18" customHeight="1">
      <c r="C1145" s="758"/>
      <c r="D1145" s="759"/>
      <c r="E1145" s="760"/>
      <c r="F1145" s="761"/>
      <c r="G1145" s="762"/>
      <c r="H1145" s="762"/>
      <c r="I1145" s="762"/>
      <c r="J1145" s="762"/>
      <c r="K1145" s="762"/>
      <c r="L1145" s="762"/>
      <c r="M1145" s="762"/>
      <c r="N1145" s="762"/>
      <c r="O1145" s="762"/>
      <c r="P1145" s="762"/>
      <c r="Q1145" s="762"/>
      <c r="R1145" s="763"/>
      <c r="S1145" s="764"/>
      <c r="T1145" s="765"/>
      <c r="U1145" s="766"/>
      <c r="V1145" s="764"/>
      <c r="W1145" s="765"/>
      <c r="X1145" s="766"/>
      <c r="Y1145" s="767"/>
      <c r="Z1145" s="768"/>
      <c r="AA1145" s="768"/>
      <c r="AB1145" s="768"/>
      <c r="AC1145" s="768"/>
      <c r="AD1145" s="769"/>
      <c r="AE1145" s="740"/>
      <c r="AF1145" s="741"/>
      <c r="AG1145" s="757"/>
      <c r="AH1145" s="740"/>
      <c r="AI1145" s="741"/>
      <c r="AJ1145" s="757"/>
      <c r="AK1145" s="737"/>
      <c r="AL1145" s="738"/>
      <c r="AM1145" s="738"/>
      <c r="AN1145" s="739"/>
      <c r="AO1145" s="740">
        <f t="shared" ref="AO1145:AO1151" si="16">ROUND(AE1145*AH1145*AK1145,2)</f>
        <v>0</v>
      </c>
      <c r="AP1145" s="741"/>
      <c r="AQ1145" s="741"/>
      <c r="AR1145" s="742"/>
    </row>
    <row r="1146" spans="3:44" ht="18" customHeight="1">
      <c r="C1146" s="758"/>
      <c r="D1146" s="759"/>
      <c r="E1146" s="760"/>
      <c r="F1146" s="761"/>
      <c r="G1146" s="762"/>
      <c r="H1146" s="762"/>
      <c r="I1146" s="762"/>
      <c r="J1146" s="762"/>
      <c r="K1146" s="762"/>
      <c r="L1146" s="762"/>
      <c r="M1146" s="762"/>
      <c r="N1146" s="762"/>
      <c r="O1146" s="762"/>
      <c r="P1146" s="762"/>
      <c r="Q1146" s="762"/>
      <c r="R1146" s="763"/>
      <c r="S1146" s="764"/>
      <c r="T1146" s="765"/>
      <c r="U1146" s="766"/>
      <c r="V1146" s="764"/>
      <c r="W1146" s="765"/>
      <c r="X1146" s="766"/>
      <c r="Y1146" s="767"/>
      <c r="Z1146" s="768"/>
      <c r="AA1146" s="768"/>
      <c r="AB1146" s="768"/>
      <c r="AC1146" s="768"/>
      <c r="AD1146" s="769"/>
      <c r="AE1146" s="740"/>
      <c r="AF1146" s="741"/>
      <c r="AG1146" s="757"/>
      <c r="AH1146" s="740"/>
      <c r="AI1146" s="741"/>
      <c r="AJ1146" s="757"/>
      <c r="AK1146" s="737"/>
      <c r="AL1146" s="738"/>
      <c r="AM1146" s="738"/>
      <c r="AN1146" s="739"/>
      <c r="AO1146" s="740">
        <f t="shared" si="16"/>
        <v>0</v>
      </c>
      <c r="AP1146" s="741"/>
      <c r="AQ1146" s="741"/>
      <c r="AR1146" s="742"/>
    </row>
    <row r="1147" spans="3:44" ht="18" customHeight="1">
      <c r="C1147" s="758"/>
      <c r="D1147" s="759"/>
      <c r="E1147" s="760"/>
      <c r="F1147" s="761"/>
      <c r="G1147" s="762"/>
      <c r="H1147" s="762"/>
      <c r="I1147" s="762"/>
      <c r="J1147" s="762"/>
      <c r="K1147" s="762"/>
      <c r="L1147" s="762"/>
      <c r="M1147" s="762"/>
      <c r="N1147" s="762"/>
      <c r="O1147" s="762"/>
      <c r="P1147" s="762"/>
      <c r="Q1147" s="762"/>
      <c r="R1147" s="763"/>
      <c r="S1147" s="764"/>
      <c r="T1147" s="765"/>
      <c r="U1147" s="766"/>
      <c r="V1147" s="764"/>
      <c r="W1147" s="765"/>
      <c r="X1147" s="766"/>
      <c r="Y1147" s="767"/>
      <c r="Z1147" s="768"/>
      <c r="AA1147" s="768"/>
      <c r="AB1147" s="768"/>
      <c r="AC1147" s="768"/>
      <c r="AD1147" s="769"/>
      <c r="AE1147" s="740"/>
      <c r="AF1147" s="741"/>
      <c r="AG1147" s="757"/>
      <c r="AH1147" s="740"/>
      <c r="AI1147" s="741"/>
      <c r="AJ1147" s="757"/>
      <c r="AK1147" s="737"/>
      <c r="AL1147" s="738"/>
      <c r="AM1147" s="738"/>
      <c r="AN1147" s="739"/>
      <c r="AO1147" s="740">
        <f t="shared" si="16"/>
        <v>0</v>
      </c>
      <c r="AP1147" s="741"/>
      <c r="AQ1147" s="741"/>
      <c r="AR1147" s="742"/>
    </row>
    <row r="1148" spans="3:44" ht="18" customHeight="1">
      <c r="C1148" s="758"/>
      <c r="D1148" s="759"/>
      <c r="E1148" s="760"/>
      <c r="F1148" s="761"/>
      <c r="G1148" s="762"/>
      <c r="H1148" s="762"/>
      <c r="I1148" s="762"/>
      <c r="J1148" s="762"/>
      <c r="K1148" s="762"/>
      <c r="L1148" s="762"/>
      <c r="M1148" s="762"/>
      <c r="N1148" s="762"/>
      <c r="O1148" s="762"/>
      <c r="P1148" s="762"/>
      <c r="Q1148" s="762"/>
      <c r="R1148" s="763"/>
      <c r="S1148" s="764"/>
      <c r="T1148" s="765"/>
      <c r="U1148" s="766"/>
      <c r="V1148" s="764"/>
      <c r="W1148" s="765"/>
      <c r="X1148" s="766"/>
      <c r="Y1148" s="767"/>
      <c r="Z1148" s="768"/>
      <c r="AA1148" s="768"/>
      <c r="AB1148" s="768"/>
      <c r="AC1148" s="768"/>
      <c r="AD1148" s="769"/>
      <c r="AE1148" s="740"/>
      <c r="AF1148" s="741"/>
      <c r="AG1148" s="757"/>
      <c r="AH1148" s="740"/>
      <c r="AI1148" s="741"/>
      <c r="AJ1148" s="757"/>
      <c r="AK1148" s="737"/>
      <c r="AL1148" s="738"/>
      <c r="AM1148" s="738"/>
      <c r="AN1148" s="739"/>
      <c r="AO1148" s="740">
        <f t="shared" si="16"/>
        <v>0</v>
      </c>
      <c r="AP1148" s="741"/>
      <c r="AQ1148" s="741"/>
      <c r="AR1148" s="742"/>
    </row>
    <row r="1149" spans="3:44" ht="18" customHeight="1">
      <c r="C1149" s="758"/>
      <c r="D1149" s="759"/>
      <c r="E1149" s="760"/>
      <c r="F1149" s="761"/>
      <c r="G1149" s="762"/>
      <c r="H1149" s="762"/>
      <c r="I1149" s="762"/>
      <c r="J1149" s="762"/>
      <c r="K1149" s="762"/>
      <c r="L1149" s="762"/>
      <c r="M1149" s="762"/>
      <c r="N1149" s="762"/>
      <c r="O1149" s="762"/>
      <c r="P1149" s="762"/>
      <c r="Q1149" s="762"/>
      <c r="R1149" s="763"/>
      <c r="S1149" s="764"/>
      <c r="T1149" s="765"/>
      <c r="U1149" s="766"/>
      <c r="V1149" s="764"/>
      <c r="W1149" s="765"/>
      <c r="X1149" s="766"/>
      <c r="Y1149" s="767"/>
      <c r="Z1149" s="768"/>
      <c r="AA1149" s="768"/>
      <c r="AB1149" s="768"/>
      <c r="AC1149" s="768"/>
      <c r="AD1149" s="769"/>
      <c r="AE1149" s="740"/>
      <c r="AF1149" s="741"/>
      <c r="AG1149" s="757"/>
      <c r="AH1149" s="740"/>
      <c r="AI1149" s="741"/>
      <c r="AJ1149" s="757"/>
      <c r="AK1149" s="737"/>
      <c r="AL1149" s="738"/>
      <c r="AM1149" s="738"/>
      <c r="AN1149" s="739"/>
      <c r="AO1149" s="740">
        <f t="shared" si="16"/>
        <v>0</v>
      </c>
      <c r="AP1149" s="741"/>
      <c r="AQ1149" s="741"/>
      <c r="AR1149" s="742"/>
    </row>
    <row r="1150" spans="3:44" ht="18" customHeight="1">
      <c r="C1150" s="758"/>
      <c r="D1150" s="759"/>
      <c r="E1150" s="760"/>
      <c r="F1150" s="761"/>
      <c r="G1150" s="762"/>
      <c r="H1150" s="762"/>
      <c r="I1150" s="762"/>
      <c r="J1150" s="762"/>
      <c r="K1150" s="762"/>
      <c r="L1150" s="762"/>
      <c r="M1150" s="762"/>
      <c r="N1150" s="762"/>
      <c r="O1150" s="762"/>
      <c r="P1150" s="762"/>
      <c r="Q1150" s="762"/>
      <c r="R1150" s="763"/>
      <c r="S1150" s="764"/>
      <c r="T1150" s="765"/>
      <c r="U1150" s="766"/>
      <c r="V1150" s="764"/>
      <c r="W1150" s="765"/>
      <c r="X1150" s="766"/>
      <c r="Y1150" s="767"/>
      <c r="Z1150" s="768"/>
      <c r="AA1150" s="768"/>
      <c r="AB1150" s="768"/>
      <c r="AC1150" s="768"/>
      <c r="AD1150" s="769"/>
      <c r="AE1150" s="740"/>
      <c r="AF1150" s="741"/>
      <c r="AG1150" s="757"/>
      <c r="AH1150" s="740"/>
      <c r="AI1150" s="741"/>
      <c r="AJ1150" s="757"/>
      <c r="AK1150" s="737"/>
      <c r="AL1150" s="738"/>
      <c r="AM1150" s="738"/>
      <c r="AN1150" s="739"/>
      <c r="AO1150" s="740">
        <f t="shared" si="16"/>
        <v>0</v>
      </c>
      <c r="AP1150" s="741"/>
      <c r="AQ1150" s="741"/>
      <c r="AR1150" s="742"/>
    </row>
    <row r="1151" spans="3:44" ht="18" customHeight="1">
      <c r="C1151" s="758"/>
      <c r="D1151" s="759"/>
      <c r="E1151" s="760"/>
      <c r="F1151" s="761"/>
      <c r="G1151" s="762"/>
      <c r="H1151" s="762"/>
      <c r="I1151" s="762"/>
      <c r="J1151" s="762"/>
      <c r="K1151" s="762"/>
      <c r="L1151" s="762"/>
      <c r="M1151" s="762"/>
      <c r="N1151" s="762"/>
      <c r="O1151" s="762"/>
      <c r="P1151" s="762"/>
      <c r="Q1151" s="762"/>
      <c r="R1151" s="763"/>
      <c r="S1151" s="764"/>
      <c r="T1151" s="765"/>
      <c r="U1151" s="766"/>
      <c r="V1151" s="764"/>
      <c r="W1151" s="765"/>
      <c r="X1151" s="766"/>
      <c r="Y1151" s="767"/>
      <c r="Z1151" s="768"/>
      <c r="AA1151" s="768"/>
      <c r="AB1151" s="768"/>
      <c r="AC1151" s="768"/>
      <c r="AD1151" s="769"/>
      <c r="AE1151" s="740"/>
      <c r="AF1151" s="741"/>
      <c r="AG1151" s="757"/>
      <c r="AH1151" s="740"/>
      <c r="AI1151" s="741"/>
      <c r="AJ1151" s="757"/>
      <c r="AK1151" s="737"/>
      <c r="AL1151" s="738"/>
      <c r="AM1151" s="738"/>
      <c r="AN1151" s="739"/>
      <c r="AO1151" s="740">
        <f t="shared" si="16"/>
        <v>0</v>
      </c>
      <c r="AP1151" s="741"/>
      <c r="AQ1151" s="741"/>
      <c r="AR1151" s="742"/>
    </row>
    <row r="1152" spans="3:44" ht="18" customHeight="1">
      <c r="C1152" s="743"/>
      <c r="D1152" s="744"/>
      <c r="E1152" s="744"/>
      <c r="F1152" s="744"/>
      <c r="G1152" s="744"/>
      <c r="H1152" s="744"/>
      <c r="I1152" s="744"/>
      <c r="J1152" s="744"/>
      <c r="K1152" s="744"/>
      <c r="L1152" s="744"/>
      <c r="M1152" s="744"/>
      <c r="N1152" s="744"/>
      <c r="O1152" s="744"/>
      <c r="P1152" s="744"/>
      <c r="Q1152" s="744"/>
      <c r="R1152" s="744"/>
      <c r="S1152" s="744"/>
      <c r="T1152" s="744"/>
      <c r="U1152" s="744"/>
      <c r="V1152" s="744"/>
      <c r="W1152" s="744"/>
      <c r="X1152" s="744"/>
      <c r="Y1152" s="745" t="s">
        <v>95</v>
      </c>
      <c r="Z1152" s="745"/>
      <c r="AA1152" s="745"/>
      <c r="AB1152" s="745"/>
      <c r="AC1152" s="745"/>
      <c r="AD1152" s="745"/>
      <c r="AE1152" s="745"/>
      <c r="AF1152" s="745"/>
      <c r="AG1152" s="745"/>
      <c r="AH1152" s="745"/>
      <c r="AI1152" s="745"/>
      <c r="AJ1152" s="745"/>
      <c r="AK1152" s="745"/>
      <c r="AL1152" s="745"/>
      <c r="AM1152" s="745"/>
      <c r="AN1152" s="430"/>
      <c r="AO1152" s="477">
        <f>SUM(AO1144:AR1151)</f>
        <v>0</v>
      </c>
      <c r="AP1152" s="746"/>
      <c r="AQ1152" s="746"/>
      <c r="AR1152" s="747"/>
    </row>
    <row r="1154" spans="1:44" ht="18" customHeight="1">
      <c r="C1154" s="434"/>
      <c r="D1154" s="434"/>
      <c r="E1154" s="434"/>
      <c r="F1154" s="434"/>
      <c r="G1154" s="434"/>
      <c r="H1154" s="434"/>
      <c r="I1154" s="434"/>
      <c r="J1154" s="434"/>
      <c r="K1154" s="434"/>
      <c r="L1154" s="434"/>
      <c r="M1154" s="434"/>
      <c r="N1154" s="434"/>
      <c r="O1154" s="434"/>
      <c r="P1154" s="434"/>
      <c r="Q1154" s="434"/>
      <c r="R1154" s="434"/>
      <c r="S1154" s="434"/>
      <c r="T1154" s="434"/>
      <c r="U1154" s="434"/>
      <c r="V1154" s="434"/>
      <c r="W1154" s="434"/>
      <c r="X1154" s="748"/>
      <c r="Y1154" s="749" t="s">
        <v>96</v>
      </c>
      <c r="Z1154" s="750"/>
      <c r="AA1154" s="750"/>
      <c r="AB1154" s="750"/>
      <c r="AC1154" s="750"/>
      <c r="AD1154" s="750"/>
      <c r="AE1154" s="750"/>
      <c r="AF1154" s="750"/>
      <c r="AG1154" s="750"/>
      <c r="AH1154" s="750"/>
      <c r="AI1154" s="750"/>
      <c r="AJ1154" s="750"/>
      <c r="AK1154" s="750"/>
      <c r="AL1154" s="750"/>
      <c r="AM1154" s="750"/>
      <c r="AN1154" s="751"/>
      <c r="AO1154" s="752">
        <f>AO1128+AO1140+AO1152</f>
        <v>5241.32</v>
      </c>
      <c r="AP1154" s="753"/>
      <c r="AQ1154" s="753"/>
      <c r="AR1154" s="754"/>
    </row>
    <row r="1155" spans="1:44" ht="18" customHeight="1">
      <c r="C1155" s="434"/>
      <c r="D1155" s="434"/>
      <c r="E1155" s="434"/>
      <c r="F1155" s="434"/>
      <c r="G1155" s="434"/>
      <c r="H1155" s="434"/>
      <c r="I1155" s="434"/>
      <c r="J1155" s="434"/>
      <c r="K1155" s="434"/>
      <c r="L1155" s="434"/>
      <c r="M1155" s="434"/>
      <c r="N1155" s="434"/>
      <c r="O1155" s="434"/>
      <c r="P1155" s="434"/>
      <c r="Q1155" s="434"/>
      <c r="R1155" s="434"/>
      <c r="S1155" s="434"/>
      <c r="T1155" s="434"/>
      <c r="U1155" s="434"/>
      <c r="V1155" s="434"/>
      <c r="W1155" s="434"/>
      <c r="X1155" s="748"/>
      <c r="Y1155" s="755" t="s">
        <v>97</v>
      </c>
      <c r="Z1155" s="756"/>
      <c r="AA1155" s="756"/>
      <c r="AB1155" s="756"/>
      <c r="AC1155" s="756"/>
      <c r="AD1155" s="756"/>
      <c r="AE1155" s="756"/>
      <c r="AF1155" s="756"/>
      <c r="AG1155" s="756"/>
      <c r="AH1155" s="442">
        <v>0.2031</v>
      </c>
      <c r="AI1155" s="442"/>
      <c r="AJ1155" s="442"/>
      <c r="AK1155" s="442"/>
      <c r="AL1155" s="442"/>
      <c r="AM1155" s="442"/>
      <c r="AN1155" s="443"/>
      <c r="AO1155" s="728">
        <f>ROUND(AO1154*AH1155,2)</f>
        <v>1064.51</v>
      </c>
      <c r="AP1155" s="729"/>
      <c r="AQ1155" s="729"/>
      <c r="AR1155" s="730"/>
    </row>
    <row r="1156" spans="1:44" ht="18" customHeight="1">
      <c r="A1156" s="415" t="s">
        <v>875</v>
      </c>
      <c r="B1156" s="415"/>
      <c r="C1156" s="434"/>
      <c r="D1156" s="434"/>
      <c r="E1156" s="434"/>
      <c r="F1156" s="434"/>
      <c r="G1156" s="434"/>
      <c r="H1156" s="434"/>
      <c r="I1156" s="434"/>
      <c r="J1156" s="434"/>
      <c r="K1156" s="434"/>
      <c r="L1156" s="434"/>
      <c r="M1156" s="434"/>
      <c r="N1156" s="434"/>
      <c r="O1156" s="434"/>
      <c r="P1156" s="434"/>
      <c r="Q1156" s="434"/>
      <c r="R1156" s="434"/>
      <c r="S1156" s="434"/>
      <c r="T1156" s="434"/>
      <c r="U1156" s="434"/>
      <c r="V1156" s="434"/>
      <c r="W1156" s="434"/>
      <c r="X1156" s="748"/>
      <c r="Y1156" s="731" t="s">
        <v>98</v>
      </c>
      <c r="Z1156" s="732"/>
      <c r="AA1156" s="732"/>
      <c r="AB1156" s="732"/>
      <c r="AC1156" s="732"/>
      <c r="AD1156" s="732"/>
      <c r="AE1156" s="732"/>
      <c r="AF1156" s="732"/>
      <c r="AG1156" s="732"/>
      <c r="AH1156" s="732"/>
      <c r="AI1156" s="732"/>
      <c r="AJ1156" s="732"/>
      <c r="AK1156" s="732"/>
      <c r="AL1156" s="732"/>
      <c r="AM1156" s="732"/>
      <c r="AN1156" s="733"/>
      <c r="AO1156" s="734">
        <f>SUM(AO1154:AR1155)</f>
        <v>6305.83</v>
      </c>
      <c r="AP1156" s="735"/>
      <c r="AQ1156" s="735"/>
      <c r="AR1156" s="736"/>
    </row>
    <row r="1158" spans="1:44" ht="18" customHeight="1">
      <c r="C1158" s="420" t="s">
        <v>99</v>
      </c>
      <c r="D1158" s="421"/>
      <c r="E1158" s="421"/>
      <c r="F1158" s="421"/>
      <c r="G1158" s="421"/>
      <c r="H1158" s="421"/>
      <c r="I1158" s="422"/>
      <c r="J1158" s="422"/>
      <c r="K1158" s="422"/>
      <c r="L1158" s="422"/>
      <c r="M1158" s="422"/>
      <c r="N1158" s="422"/>
      <c r="O1158" s="422"/>
      <c r="P1158" s="422"/>
      <c r="Q1158" s="422"/>
      <c r="R1158" s="422"/>
      <c r="S1158" s="422"/>
      <c r="T1158" s="422"/>
      <c r="U1158" s="422"/>
      <c r="V1158" s="422"/>
      <c r="W1158" s="422"/>
      <c r="X1158" s="422"/>
      <c r="Y1158" s="422"/>
      <c r="Z1158" s="422"/>
      <c r="AA1158" s="422"/>
      <c r="AB1158" s="422"/>
      <c r="AC1158" s="422"/>
      <c r="AD1158" s="422"/>
      <c r="AE1158" s="422"/>
      <c r="AF1158" s="422"/>
      <c r="AG1158" s="422"/>
      <c r="AH1158" s="422"/>
      <c r="AI1158" s="422"/>
      <c r="AJ1158" s="422"/>
      <c r="AK1158" s="422"/>
      <c r="AL1158" s="422"/>
      <c r="AM1158" s="422"/>
      <c r="AN1158" s="422"/>
      <c r="AO1158" s="422"/>
      <c r="AP1158" s="422"/>
      <c r="AQ1158" s="422"/>
      <c r="AR1158" s="423"/>
    </row>
    <row r="1159" spans="1:44" ht="18" customHeight="1">
      <c r="C1159" s="411"/>
      <c r="D1159" s="412"/>
      <c r="E1159" s="412"/>
      <c r="F1159" s="412"/>
      <c r="G1159" s="412"/>
      <c r="H1159" s="412"/>
      <c r="I1159" s="409"/>
      <c r="J1159" s="409"/>
      <c r="K1159" s="409"/>
      <c r="L1159" s="409"/>
      <c r="M1159" s="409"/>
      <c r="N1159" s="409"/>
      <c r="O1159" s="409"/>
      <c r="P1159" s="409"/>
      <c r="Q1159" s="409"/>
      <c r="R1159" s="409"/>
      <c r="S1159" s="409"/>
      <c r="T1159" s="409"/>
      <c r="U1159" s="409"/>
      <c r="V1159" s="409"/>
      <c r="W1159" s="409"/>
      <c r="X1159" s="409"/>
      <c r="Y1159" s="409"/>
      <c r="Z1159" s="409"/>
      <c r="AA1159" s="409"/>
      <c r="AB1159" s="409"/>
      <c r="AC1159" s="409"/>
      <c r="AD1159" s="409"/>
      <c r="AE1159" s="409"/>
      <c r="AF1159" s="409"/>
      <c r="AG1159" s="409"/>
      <c r="AH1159" s="409"/>
      <c r="AI1159" s="409"/>
      <c r="AJ1159" s="409"/>
      <c r="AK1159" s="409"/>
      <c r="AL1159" s="409"/>
      <c r="AM1159" s="409"/>
      <c r="AN1159" s="409"/>
      <c r="AO1159" s="409"/>
      <c r="AP1159" s="409"/>
      <c r="AQ1159" s="409"/>
      <c r="AR1159" s="410"/>
    </row>
    <row r="1160" spans="1:44" ht="18" customHeight="1">
      <c r="C1160" s="411"/>
      <c r="D1160" s="412"/>
      <c r="E1160" s="412"/>
      <c r="F1160" s="412"/>
      <c r="G1160" s="412"/>
      <c r="H1160" s="412"/>
      <c r="I1160" s="409"/>
      <c r="J1160" s="409"/>
      <c r="K1160" s="409"/>
      <c r="L1160" s="409"/>
      <c r="M1160" s="409"/>
      <c r="N1160" s="409"/>
      <c r="O1160" s="409"/>
      <c r="P1160" s="409"/>
      <c r="Q1160" s="409"/>
      <c r="R1160" s="409"/>
      <c r="S1160" s="409"/>
      <c r="T1160" s="409"/>
      <c r="U1160" s="409"/>
      <c r="V1160" s="409"/>
      <c r="W1160" s="409"/>
      <c r="X1160" s="409"/>
      <c r="Y1160" s="409"/>
      <c r="Z1160" s="409"/>
      <c r="AA1160" s="409"/>
      <c r="AB1160" s="409"/>
      <c r="AC1160" s="409"/>
      <c r="AD1160" s="409"/>
      <c r="AE1160" s="409"/>
      <c r="AF1160" s="409"/>
      <c r="AG1160" s="409"/>
      <c r="AH1160" s="409"/>
      <c r="AI1160" s="409"/>
      <c r="AJ1160" s="409"/>
      <c r="AK1160" s="409"/>
      <c r="AL1160" s="409"/>
      <c r="AM1160" s="409"/>
      <c r="AN1160" s="409"/>
      <c r="AO1160" s="409"/>
      <c r="AP1160" s="409"/>
      <c r="AQ1160" s="409"/>
      <c r="AR1160" s="410"/>
    </row>
    <row r="1161" spans="1:44" ht="18" customHeight="1">
      <c r="C1161" s="411"/>
      <c r="D1161" s="412"/>
      <c r="E1161" s="412"/>
      <c r="F1161" s="412"/>
      <c r="G1161" s="412"/>
      <c r="H1161" s="412"/>
      <c r="I1161" s="409"/>
      <c r="J1161" s="409"/>
      <c r="K1161" s="409"/>
      <c r="L1161" s="409"/>
      <c r="M1161" s="409"/>
      <c r="N1161" s="409"/>
      <c r="O1161" s="409"/>
      <c r="P1161" s="409"/>
      <c r="Q1161" s="409"/>
      <c r="R1161" s="409"/>
      <c r="S1161" s="409"/>
      <c r="T1161" s="409"/>
      <c r="U1161" s="409"/>
      <c r="V1161" s="409"/>
      <c r="W1161" s="409"/>
      <c r="X1161" s="409"/>
      <c r="Y1161" s="409"/>
      <c r="Z1161" s="409"/>
      <c r="AA1161" s="409"/>
      <c r="AB1161" s="409"/>
      <c r="AC1161" s="409"/>
      <c r="AD1161" s="409"/>
      <c r="AE1161" s="409"/>
      <c r="AF1161" s="409"/>
      <c r="AG1161" s="409"/>
      <c r="AH1161" s="409"/>
      <c r="AI1161" s="409"/>
      <c r="AJ1161" s="409"/>
      <c r="AK1161" s="409"/>
      <c r="AL1161" s="409"/>
      <c r="AM1161" s="409"/>
      <c r="AN1161" s="409"/>
      <c r="AO1161" s="409"/>
      <c r="AP1161" s="409"/>
      <c r="AQ1161" s="409"/>
      <c r="AR1161" s="410"/>
    </row>
    <row r="1162" spans="1:44" ht="18" customHeight="1">
      <c r="C1162" s="411"/>
      <c r="D1162" s="412"/>
      <c r="E1162" s="412"/>
      <c r="F1162" s="412"/>
      <c r="G1162" s="412"/>
      <c r="H1162" s="412"/>
      <c r="I1162" s="409"/>
      <c r="J1162" s="409"/>
      <c r="K1162" s="409"/>
      <c r="L1162" s="409"/>
      <c r="M1162" s="409"/>
      <c r="N1162" s="409"/>
      <c r="O1162" s="409"/>
      <c r="P1162" s="409"/>
      <c r="Q1162" s="409"/>
      <c r="R1162" s="409"/>
      <c r="S1162" s="409"/>
      <c r="T1162" s="409"/>
      <c r="U1162" s="409"/>
      <c r="V1162" s="409"/>
      <c r="W1162" s="409"/>
      <c r="X1162" s="409"/>
      <c r="Y1162" s="409"/>
      <c r="Z1162" s="409"/>
      <c r="AA1162" s="409"/>
      <c r="AB1162" s="409"/>
      <c r="AC1162" s="409"/>
      <c r="AD1162" s="409"/>
      <c r="AE1162" s="409"/>
      <c r="AF1162" s="409"/>
      <c r="AG1162" s="409"/>
      <c r="AH1162" s="409"/>
      <c r="AI1162" s="409"/>
      <c r="AJ1162" s="409"/>
      <c r="AK1162" s="409"/>
      <c r="AL1162" s="409"/>
      <c r="AM1162" s="409"/>
      <c r="AN1162" s="409"/>
      <c r="AO1162" s="409"/>
      <c r="AP1162" s="409"/>
      <c r="AQ1162" s="409"/>
      <c r="AR1162" s="410"/>
    </row>
    <row r="1163" spans="1:44" ht="18" customHeight="1">
      <c r="C1163" s="385"/>
      <c r="D1163" s="386"/>
      <c r="E1163" s="386"/>
      <c r="F1163" s="386"/>
      <c r="G1163" s="386"/>
      <c r="H1163" s="386"/>
      <c r="I1163" s="387"/>
      <c r="J1163" s="387"/>
      <c r="K1163" s="387"/>
      <c r="L1163" s="387"/>
      <c r="M1163" s="387"/>
      <c r="N1163" s="387"/>
      <c r="O1163" s="387"/>
      <c r="P1163" s="387"/>
      <c r="Q1163" s="387"/>
      <c r="R1163" s="387"/>
      <c r="S1163" s="387"/>
      <c r="T1163" s="387"/>
      <c r="U1163" s="387"/>
      <c r="V1163" s="387"/>
      <c r="W1163" s="387"/>
      <c r="X1163" s="387"/>
      <c r="Y1163" s="387"/>
      <c r="Z1163" s="387"/>
      <c r="AA1163" s="387"/>
      <c r="AB1163" s="387"/>
      <c r="AC1163" s="387"/>
      <c r="AD1163" s="387"/>
      <c r="AE1163" s="387"/>
      <c r="AF1163" s="387"/>
      <c r="AG1163" s="387"/>
      <c r="AH1163" s="387"/>
      <c r="AI1163" s="387"/>
      <c r="AJ1163" s="387"/>
      <c r="AK1163" s="387"/>
      <c r="AL1163" s="387"/>
      <c r="AM1163" s="387"/>
      <c r="AN1163" s="387"/>
      <c r="AO1163" s="387"/>
      <c r="AP1163" s="387"/>
      <c r="AQ1163" s="387"/>
      <c r="AR1163" s="388"/>
    </row>
    <row r="1165" spans="1:44" ht="18" customHeight="1">
      <c r="C1165" s="389" t="s">
        <v>100</v>
      </c>
      <c r="D1165" s="390"/>
      <c r="E1165" s="390"/>
      <c r="F1165" s="390"/>
      <c r="G1165" s="390"/>
      <c r="H1165" s="390"/>
      <c r="I1165" s="390"/>
      <c r="J1165" s="390"/>
      <c r="K1165" s="390"/>
      <c r="L1165" s="390"/>
      <c r="M1165" s="390"/>
      <c r="N1165" s="390"/>
      <c r="O1165" s="390"/>
      <c r="P1165" s="390"/>
      <c r="Q1165" s="390"/>
      <c r="R1165" s="390"/>
      <c r="S1165" s="390"/>
      <c r="T1165" s="390"/>
      <c r="U1165" s="390"/>
      <c r="V1165" s="390"/>
      <c r="W1165" s="390"/>
      <c r="X1165" s="390"/>
      <c r="Y1165" s="390"/>
      <c r="Z1165" s="390"/>
      <c r="AA1165" s="391"/>
      <c r="AB1165" s="392" t="str">
        <f>[4]C.UNIT.SERV.!$E$5</f>
        <v>DATA-BASE:      MAIO/2011/PR</v>
      </c>
      <c r="AC1165" s="393"/>
      <c r="AD1165" s="393"/>
      <c r="AE1165" s="393"/>
      <c r="AF1165" s="393"/>
      <c r="AG1165" s="393"/>
      <c r="AH1165" s="393"/>
      <c r="AI1165" s="394"/>
      <c r="AJ1165" s="392"/>
      <c r="AK1165" s="393"/>
      <c r="AL1165" s="393"/>
      <c r="AM1165" s="393"/>
      <c r="AN1165" s="393"/>
      <c r="AO1165" s="393"/>
      <c r="AP1165" s="393"/>
      <c r="AQ1165" s="393"/>
      <c r="AR1165" s="401"/>
    </row>
    <row r="1166" spans="1:44" ht="18" customHeight="1">
      <c r="C1166" s="404" t="s">
        <v>101</v>
      </c>
      <c r="D1166" s="405"/>
      <c r="E1166" s="405"/>
      <c r="F1166" s="405"/>
      <c r="G1166" s="405" t="s">
        <v>283</v>
      </c>
      <c r="H1166" s="405"/>
      <c r="I1166" s="405"/>
      <c r="J1166" s="405"/>
      <c r="K1166" s="405"/>
      <c r="L1166" s="405"/>
      <c r="M1166" s="405"/>
      <c r="N1166" s="405"/>
      <c r="O1166" s="405"/>
      <c r="P1166" s="405"/>
      <c r="Q1166" s="405"/>
      <c r="R1166" s="405"/>
      <c r="S1166" s="405"/>
      <c r="T1166" s="405"/>
      <c r="U1166" s="405"/>
      <c r="V1166" s="405"/>
      <c r="W1166" s="405"/>
      <c r="X1166" s="405"/>
      <c r="Y1166" s="405"/>
      <c r="Z1166" s="405"/>
      <c r="AA1166" s="406"/>
      <c r="AB1166" s="395"/>
      <c r="AC1166" s="396"/>
      <c r="AD1166" s="396"/>
      <c r="AE1166" s="396"/>
      <c r="AF1166" s="396"/>
      <c r="AG1166" s="396"/>
      <c r="AH1166" s="396"/>
      <c r="AI1166" s="397"/>
      <c r="AJ1166" s="395"/>
      <c r="AK1166" s="396"/>
      <c r="AL1166" s="396"/>
      <c r="AM1166" s="396"/>
      <c r="AN1166" s="396"/>
      <c r="AO1166" s="396"/>
      <c r="AP1166" s="396"/>
      <c r="AQ1166" s="396"/>
      <c r="AR1166" s="402"/>
    </row>
    <row r="1167" spans="1:44" ht="18" customHeight="1">
      <c r="C1167" s="404" t="s">
        <v>102</v>
      </c>
      <c r="D1167" s="405"/>
      <c r="E1167" s="405"/>
      <c r="F1167" s="405"/>
      <c r="G1167" s="405"/>
      <c r="H1167" s="405"/>
      <c r="I1167" s="405"/>
      <c r="J1167" s="405"/>
      <c r="K1167" s="405"/>
      <c r="L1167" s="405"/>
      <c r="M1167" s="405"/>
      <c r="N1167" s="405"/>
      <c r="O1167" s="405"/>
      <c r="P1167" s="405"/>
      <c r="Q1167" s="405"/>
      <c r="R1167" s="405"/>
      <c r="S1167" s="405"/>
      <c r="T1167" s="405"/>
      <c r="U1167" s="405"/>
      <c r="V1167" s="405"/>
      <c r="W1167" s="405"/>
      <c r="X1167" s="405"/>
      <c r="Y1167" s="405"/>
      <c r="Z1167" s="405"/>
      <c r="AA1167" s="406"/>
      <c r="AB1167" s="395"/>
      <c r="AC1167" s="396"/>
      <c r="AD1167" s="396"/>
      <c r="AE1167" s="396"/>
      <c r="AF1167" s="396"/>
      <c r="AG1167" s="396"/>
      <c r="AH1167" s="396"/>
      <c r="AI1167" s="397"/>
      <c r="AJ1167" s="395"/>
      <c r="AK1167" s="396"/>
      <c r="AL1167" s="396"/>
      <c r="AM1167" s="396"/>
      <c r="AN1167" s="396"/>
      <c r="AO1167" s="396"/>
      <c r="AP1167" s="396"/>
      <c r="AQ1167" s="396"/>
      <c r="AR1167" s="402"/>
    </row>
    <row r="1168" spans="1:44" ht="18" customHeight="1">
      <c r="C1168" s="407"/>
      <c r="D1168" s="408"/>
      <c r="E1168" s="408"/>
      <c r="F1168" s="408"/>
      <c r="G1168" s="408"/>
      <c r="H1168" s="408"/>
      <c r="I1168" s="408"/>
      <c r="J1168" s="408"/>
      <c r="K1168" s="408"/>
      <c r="L1168" s="408"/>
      <c r="M1168" s="408"/>
      <c r="N1168" s="408"/>
      <c r="O1168" s="408"/>
      <c r="P1168" s="408"/>
      <c r="Q1168" s="408"/>
      <c r="R1168" s="408"/>
      <c r="S1168" s="408"/>
      <c r="T1168" s="408"/>
      <c r="U1168" s="408"/>
      <c r="V1168" s="408"/>
      <c r="W1168" s="408"/>
      <c r="X1168" s="408"/>
      <c r="Y1168" s="408"/>
      <c r="Z1168" s="408"/>
      <c r="AA1168" s="408"/>
      <c r="AB1168" s="398"/>
      <c r="AC1168" s="399"/>
      <c r="AD1168" s="399"/>
      <c r="AE1168" s="399"/>
      <c r="AF1168" s="399"/>
      <c r="AG1168" s="399"/>
      <c r="AH1168" s="399"/>
      <c r="AI1168" s="400"/>
      <c r="AJ1168" s="398"/>
      <c r="AK1168" s="399"/>
      <c r="AL1168" s="399"/>
      <c r="AM1168" s="399"/>
      <c r="AN1168" s="399"/>
      <c r="AO1168" s="399"/>
      <c r="AP1168" s="399"/>
      <c r="AQ1168" s="399"/>
      <c r="AR1168" s="403"/>
    </row>
    <row r="1170" spans="3:44" ht="18" customHeight="1">
      <c r="C1170" s="850" t="s">
        <v>64</v>
      </c>
      <c r="D1170" s="851"/>
      <c r="E1170" s="851"/>
      <c r="F1170" s="851"/>
      <c r="G1170" s="851"/>
      <c r="H1170" s="851"/>
      <c r="I1170" s="851"/>
      <c r="J1170" s="851"/>
      <c r="K1170" s="851"/>
      <c r="L1170" s="851"/>
      <c r="M1170" s="851"/>
      <c r="N1170" s="851"/>
      <c r="O1170" s="851"/>
      <c r="P1170" s="851"/>
      <c r="Q1170" s="851"/>
      <c r="R1170" s="851"/>
      <c r="S1170" s="851"/>
      <c r="T1170" s="851"/>
      <c r="U1170" s="851"/>
      <c r="V1170" s="851"/>
      <c r="W1170" s="851"/>
      <c r="X1170" s="851"/>
      <c r="Y1170" s="851"/>
      <c r="Z1170" s="851"/>
      <c r="AA1170" s="851"/>
      <c r="AB1170" s="851"/>
      <c r="AC1170" s="851"/>
      <c r="AD1170" s="851"/>
      <c r="AE1170" s="851"/>
      <c r="AF1170" s="851"/>
      <c r="AG1170" s="851"/>
      <c r="AH1170" s="851"/>
      <c r="AI1170" s="851"/>
      <c r="AJ1170" s="851"/>
      <c r="AK1170" s="851"/>
      <c r="AL1170" s="851"/>
      <c r="AM1170" s="851"/>
      <c r="AN1170" s="851"/>
      <c r="AO1170" s="851"/>
      <c r="AP1170" s="851"/>
      <c r="AQ1170" s="851"/>
      <c r="AR1170" s="852"/>
    </row>
    <row r="1171" spans="3:44" ht="18" customHeight="1">
      <c r="C1171" s="853"/>
      <c r="D1171" s="854"/>
      <c r="E1171" s="854"/>
      <c r="F1171" s="854"/>
      <c r="G1171" s="854"/>
      <c r="H1171" s="854"/>
      <c r="I1171" s="854"/>
      <c r="J1171" s="854"/>
      <c r="K1171" s="854"/>
      <c r="L1171" s="854"/>
      <c r="M1171" s="854"/>
      <c r="N1171" s="854"/>
      <c r="O1171" s="854"/>
      <c r="P1171" s="854"/>
      <c r="Q1171" s="854"/>
      <c r="R1171" s="854"/>
      <c r="S1171" s="854"/>
      <c r="T1171" s="854"/>
      <c r="U1171" s="854"/>
      <c r="V1171" s="854"/>
      <c r="W1171" s="854"/>
      <c r="X1171" s="854"/>
      <c r="Y1171" s="854"/>
      <c r="Z1171" s="854"/>
      <c r="AA1171" s="854"/>
      <c r="AB1171" s="854"/>
      <c r="AC1171" s="854"/>
      <c r="AD1171" s="854"/>
      <c r="AE1171" s="854"/>
      <c r="AF1171" s="854"/>
      <c r="AG1171" s="854"/>
      <c r="AH1171" s="854"/>
      <c r="AI1171" s="854"/>
      <c r="AJ1171" s="854"/>
      <c r="AK1171" s="854"/>
      <c r="AL1171" s="854"/>
      <c r="AM1171" s="854"/>
      <c r="AN1171" s="854"/>
      <c r="AO1171" s="854"/>
      <c r="AP1171" s="854"/>
      <c r="AQ1171" s="854"/>
      <c r="AR1171" s="855"/>
    </row>
    <row r="1172" spans="3:44" ht="18" customHeight="1">
      <c r="C1172" s="856" t="s">
        <v>65</v>
      </c>
      <c r="D1172" s="857"/>
      <c r="E1172" s="857"/>
      <c r="F1172" s="857"/>
      <c r="G1172" s="860" t="s">
        <v>1576</v>
      </c>
      <c r="H1172" s="860"/>
      <c r="I1172" s="860"/>
      <c r="J1172" s="861"/>
      <c r="K1172" s="864" t="s">
        <v>66</v>
      </c>
      <c r="L1172" s="865"/>
      <c r="M1172" s="865"/>
      <c r="N1172" s="865"/>
      <c r="O1172" s="526" t="s">
        <v>1575</v>
      </c>
      <c r="P1172" s="526"/>
      <c r="Q1172" s="526"/>
      <c r="R1172" s="526"/>
      <c r="S1172" s="526"/>
      <c r="T1172" s="526"/>
      <c r="U1172" s="526"/>
      <c r="V1172" s="526"/>
      <c r="W1172" s="526"/>
      <c r="X1172" s="526"/>
      <c r="Y1172" s="526"/>
      <c r="Z1172" s="526"/>
      <c r="AA1172" s="526"/>
      <c r="AB1172" s="526"/>
      <c r="AC1172" s="526"/>
      <c r="AD1172" s="526"/>
      <c r="AE1172" s="526"/>
      <c r="AF1172" s="526"/>
      <c r="AG1172" s="526"/>
      <c r="AH1172" s="526"/>
      <c r="AI1172" s="526"/>
      <c r="AJ1172" s="526"/>
      <c r="AK1172" s="527"/>
      <c r="AL1172" s="864" t="s">
        <v>67</v>
      </c>
      <c r="AM1172" s="865"/>
      <c r="AN1172" s="865"/>
      <c r="AO1172" s="865"/>
      <c r="AP1172" s="843" t="s">
        <v>194</v>
      </c>
      <c r="AQ1172" s="843"/>
      <c r="AR1172" s="844"/>
    </row>
    <row r="1173" spans="3:44" ht="18" customHeight="1">
      <c r="C1173" s="858"/>
      <c r="D1173" s="859"/>
      <c r="E1173" s="859"/>
      <c r="F1173" s="859"/>
      <c r="G1173" s="862"/>
      <c r="H1173" s="862"/>
      <c r="I1173" s="862"/>
      <c r="J1173" s="863"/>
      <c r="K1173" s="866"/>
      <c r="L1173" s="867"/>
      <c r="M1173" s="867"/>
      <c r="N1173" s="867"/>
      <c r="O1173" s="528"/>
      <c r="P1173" s="528"/>
      <c r="Q1173" s="528"/>
      <c r="R1173" s="528"/>
      <c r="S1173" s="528"/>
      <c r="T1173" s="528"/>
      <c r="U1173" s="528"/>
      <c r="V1173" s="528"/>
      <c r="W1173" s="528"/>
      <c r="X1173" s="528"/>
      <c r="Y1173" s="528"/>
      <c r="Z1173" s="528"/>
      <c r="AA1173" s="528"/>
      <c r="AB1173" s="528"/>
      <c r="AC1173" s="528"/>
      <c r="AD1173" s="528"/>
      <c r="AE1173" s="528"/>
      <c r="AF1173" s="528"/>
      <c r="AG1173" s="528"/>
      <c r="AH1173" s="528"/>
      <c r="AI1173" s="528"/>
      <c r="AJ1173" s="528"/>
      <c r="AK1173" s="529"/>
      <c r="AL1173" s="866"/>
      <c r="AM1173" s="867"/>
      <c r="AN1173" s="867"/>
      <c r="AO1173" s="867"/>
      <c r="AP1173" s="845"/>
      <c r="AQ1173" s="845"/>
      <c r="AR1173" s="846"/>
    </row>
    <row r="1175" spans="3:44" ht="18" customHeight="1">
      <c r="C1175" s="794" t="s">
        <v>43</v>
      </c>
      <c r="D1175" s="774"/>
      <c r="E1175" s="775"/>
      <c r="F1175" s="773" t="s">
        <v>68</v>
      </c>
      <c r="G1175" s="774"/>
      <c r="H1175" s="774"/>
      <c r="I1175" s="774"/>
      <c r="J1175" s="774"/>
      <c r="K1175" s="774"/>
      <c r="L1175" s="774"/>
      <c r="M1175" s="774"/>
      <c r="N1175" s="774"/>
      <c r="O1175" s="774"/>
      <c r="P1175" s="774"/>
      <c r="Q1175" s="774"/>
      <c r="R1175" s="774"/>
      <c r="S1175" s="774"/>
      <c r="T1175" s="774"/>
      <c r="U1175" s="775"/>
      <c r="V1175" s="773" t="s">
        <v>249</v>
      </c>
      <c r="W1175" s="774"/>
      <c r="X1175" s="775"/>
      <c r="Y1175" s="847" t="s">
        <v>69</v>
      </c>
      <c r="Z1175" s="848"/>
      <c r="AA1175" s="848"/>
      <c r="AB1175" s="848"/>
      <c r="AC1175" s="848"/>
      <c r="AD1175" s="848"/>
      <c r="AE1175" s="848"/>
      <c r="AF1175" s="849"/>
      <c r="AG1175" s="847" t="s">
        <v>70</v>
      </c>
      <c r="AH1175" s="848"/>
      <c r="AI1175" s="848"/>
      <c r="AJ1175" s="848"/>
      <c r="AK1175" s="848"/>
      <c r="AL1175" s="848"/>
      <c r="AM1175" s="848"/>
      <c r="AN1175" s="849"/>
      <c r="AO1175" s="773" t="s">
        <v>71</v>
      </c>
      <c r="AP1175" s="774"/>
      <c r="AQ1175" s="774"/>
      <c r="AR1175" s="779"/>
    </row>
    <row r="1176" spans="3:44" ht="18" customHeight="1">
      <c r="C1176" s="795"/>
      <c r="D1176" s="777"/>
      <c r="E1176" s="778"/>
      <c r="F1176" s="776"/>
      <c r="G1176" s="777"/>
      <c r="H1176" s="777"/>
      <c r="I1176" s="777"/>
      <c r="J1176" s="777"/>
      <c r="K1176" s="777"/>
      <c r="L1176" s="777"/>
      <c r="M1176" s="777"/>
      <c r="N1176" s="777"/>
      <c r="O1176" s="777"/>
      <c r="P1176" s="777"/>
      <c r="Q1176" s="777"/>
      <c r="R1176" s="777"/>
      <c r="S1176" s="777"/>
      <c r="T1176" s="777"/>
      <c r="U1176" s="778"/>
      <c r="V1176" s="776"/>
      <c r="W1176" s="777"/>
      <c r="X1176" s="778"/>
      <c r="Y1176" s="834" t="s">
        <v>72</v>
      </c>
      <c r="Z1176" s="835"/>
      <c r="AA1176" s="835"/>
      <c r="AB1176" s="836"/>
      <c r="AC1176" s="834" t="s">
        <v>73</v>
      </c>
      <c r="AD1176" s="835"/>
      <c r="AE1176" s="835"/>
      <c r="AF1176" s="836"/>
      <c r="AG1176" s="834" t="s">
        <v>72</v>
      </c>
      <c r="AH1176" s="835"/>
      <c r="AI1176" s="835"/>
      <c r="AJ1176" s="836"/>
      <c r="AK1176" s="834" t="s">
        <v>73</v>
      </c>
      <c r="AL1176" s="835"/>
      <c r="AM1176" s="835"/>
      <c r="AN1176" s="836"/>
      <c r="AO1176" s="776"/>
      <c r="AP1176" s="777"/>
      <c r="AQ1176" s="777"/>
      <c r="AR1176" s="780"/>
    </row>
    <row r="1177" spans="3:44" ht="18" customHeight="1">
      <c r="C1177" s="781" t="s">
        <v>1386</v>
      </c>
      <c r="D1177" s="782"/>
      <c r="E1177" s="783"/>
      <c r="F1177" s="493" t="s">
        <v>866</v>
      </c>
      <c r="G1177" s="493"/>
      <c r="H1177" s="493"/>
      <c r="I1177" s="493"/>
      <c r="J1177" s="493"/>
      <c r="K1177" s="493"/>
      <c r="L1177" s="493"/>
      <c r="M1177" s="493"/>
      <c r="N1177" s="493"/>
      <c r="O1177" s="493"/>
      <c r="P1177" s="493"/>
      <c r="Q1177" s="493"/>
      <c r="R1177" s="493"/>
      <c r="S1177" s="493"/>
      <c r="T1177" s="493"/>
      <c r="U1177" s="493"/>
      <c r="V1177" s="837">
        <v>0.08</v>
      </c>
      <c r="W1177" s="838"/>
      <c r="X1177" s="839"/>
      <c r="Y1177" s="837">
        <v>1</v>
      </c>
      <c r="Z1177" s="838"/>
      <c r="AA1177" s="838"/>
      <c r="AB1177" s="839"/>
      <c r="AC1177" s="840">
        <f>1-Y1177</f>
        <v>0</v>
      </c>
      <c r="AD1177" s="841"/>
      <c r="AE1177" s="841"/>
      <c r="AF1177" s="842"/>
      <c r="AG1177" s="491">
        <f>VLOOKUP(C1177,[5]EQUIPAMENTOS!A$1:D$65536,3,FALSE)</f>
        <v>120.4585</v>
      </c>
      <c r="AH1177" s="491"/>
      <c r="AI1177" s="491"/>
      <c r="AJ1177" s="491"/>
      <c r="AK1177" s="491">
        <f>VLOOKUP(C1177,[5]EQUIPAMENTOS!A$1:D$65536,4,FALSE)</f>
        <v>17.939399999999999</v>
      </c>
      <c r="AL1177" s="491"/>
      <c r="AM1177" s="491"/>
      <c r="AN1177" s="491"/>
      <c r="AO1177" s="491">
        <f>ROUND((Y1177*AG1177+AC1177*AK1177)*V1177,2)</f>
        <v>9.64</v>
      </c>
      <c r="AP1177" s="491"/>
      <c r="AQ1177" s="491"/>
      <c r="AR1177" s="492"/>
    </row>
    <row r="1178" spans="3:44" ht="18" customHeight="1">
      <c r="C1178" s="758" t="s">
        <v>1387</v>
      </c>
      <c r="D1178" s="759"/>
      <c r="E1178" s="760"/>
      <c r="F1178" s="493" t="s">
        <v>867</v>
      </c>
      <c r="G1178" s="493"/>
      <c r="H1178" s="493"/>
      <c r="I1178" s="493"/>
      <c r="J1178" s="493"/>
      <c r="K1178" s="493"/>
      <c r="L1178" s="493"/>
      <c r="M1178" s="493"/>
      <c r="N1178" s="493"/>
      <c r="O1178" s="493"/>
      <c r="P1178" s="493"/>
      <c r="Q1178" s="493"/>
      <c r="R1178" s="493"/>
      <c r="S1178" s="493"/>
      <c r="T1178" s="493"/>
      <c r="U1178" s="493"/>
      <c r="V1178" s="466">
        <v>0.03</v>
      </c>
      <c r="W1178" s="467"/>
      <c r="X1178" s="468"/>
      <c r="Y1178" s="466">
        <v>1</v>
      </c>
      <c r="Z1178" s="467"/>
      <c r="AA1178" s="467"/>
      <c r="AB1178" s="468"/>
      <c r="AC1178" s="828">
        <f>1-Y1178</f>
        <v>0</v>
      </c>
      <c r="AD1178" s="829"/>
      <c r="AE1178" s="829"/>
      <c r="AF1178" s="830"/>
      <c r="AG1178" s="491">
        <f>VLOOKUP(C1178,[5]EQUIPAMENTOS!A$1:D$65536,3,FALSE)</f>
        <v>123.3065</v>
      </c>
      <c r="AH1178" s="491"/>
      <c r="AI1178" s="491"/>
      <c r="AJ1178" s="491"/>
      <c r="AK1178" s="491">
        <f>VLOOKUP(C1178,[5]EQUIPAMENTOS!A$1:D$65536,4,FALSE)</f>
        <v>17.939399999999999</v>
      </c>
      <c r="AL1178" s="491"/>
      <c r="AM1178" s="491"/>
      <c r="AN1178" s="491"/>
      <c r="AO1178" s="491">
        <f>ROUND((Y1178*AG1178+AC1178*AK1178)*V1178,2)</f>
        <v>3.7</v>
      </c>
      <c r="AP1178" s="491"/>
      <c r="AQ1178" s="491"/>
      <c r="AR1178" s="492"/>
    </row>
    <row r="1179" spans="3:44" ht="18" customHeight="1">
      <c r="C1179" s="758"/>
      <c r="D1179" s="759"/>
      <c r="E1179" s="760"/>
      <c r="F1179" s="493"/>
      <c r="G1179" s="493"/>
      <c r="H1179" s="493"/>
      <c r="I1179" s="493"/>
      <c r="J1179" s="493"/>
      <c r="K1179" s="493"/>
      <c r="L1179" s="493"/>
      <c r="M1179" s="493"/>
      <c r="N1179" s="493"/>
      <c r="O1179" s="493"/>
      <c r="P1179" s="493"/>
      <c r="Q1179" s="493"/>
      <c r="R1179" s="493"/>
      <c r="S1179" s="493"/>
      <c r="T1179" s="493"/>
      <c r="U1179" s="493"/>
      <c r="V1179" s="466"/>
      <c r="W1179" s="467"/>
      <c r="X1179" s="468"/>
      <c r="Y1179" s="466"/>
      <c r="Z1179" s="467"/>
      <c r="AA1179" s="467"/>
      <c r="AB1179" s="468"/>
      <c r="AC1179" s="828"/>
      <c r="AD1179" s="829"/>
      <c r="AE1179" s="829"/>
      <c r="AF1179" s="830"/>
      <c r="AG1179" s="491"/>
      <c r="AH1179" s="491"/>
      <c r="AI1179" s="491"/>
      <c r="AJ1179" s="491"/>
      <c r="AK1179" s="491"/>
      <c r="AL1179" s="491"/>
      <c r="AM1179" s="491"/>
      <c r="AN1179" s="491"/>
      <c r="AO1179" s="491"/>
      <c r="AP1179" s="491"/>
      <c r="AQ1179" s="491"/>
      <c r="AR1179" s="492"/>
    </row>
    <row r="1180" spans="3:44" ht="18" customHeight="1">
      <c r="C1180" s="758"/>
      <c r="D1180" s="759"/>
      <c r="E1180" s="760"/>
      <c r="F1180" s="493"/>
      <c r="G1180" s="493"/>
      <c r="H1180" s="493"/>
      <c r="I1180" s="493"/>
      <c r="J1180" s="493"/>
      <c r="K1180" s="493"/>
      <c r="L1180" s="493"/>
      <c r="M1180" s="493"/>
      <c r="N1180" s="493"/>
      <c r="O1180" s="493"/>
      <c r="P1180" s="493"/>
      <c r="Q1180" s="493"/>
      <c r="R1180" s="493"/>
      <c r="S1180" s="493"/>
      <c r="T1180" s="493"/>
      <c r="U1180" s="493"/>
      <c r="V1180" s="466"/>
      <c r="W1180" s="467"/>
      <c r="X1180" s="468"/>
      <c r="Y1180" s="466"/>
      <c r="Z1180" s="467"/>
      <c r="AA1180" s="467"/>
      <c r="AB1180" s="468"/>
      <c r="AC1180" s="828"/>
      <c r="AD1180" s="829"/>
      <c r="AE1180" s="829"/>
      <c r="AF1180" s="830"/>
      <c r="AG1180" s="491"/>
      <c r="AH1180" s="491"/>
      <c r="AI1180" s="491"/>
      <c r="AJ1180" s="491"/>
      <c r="AK1180" s="491"/>
      <c r="AL1180" s="491"/>
      <c r="AM1180" s="491"/>
      <c r="AN1180" s="491"/>
      <c r="AO1180" s="491"/>
      <c r="AP1180" s="491"/>
      <c r="AQ1180" s="491"/>
      <c r="AR1180" s="492"/>
    </row>
    <row r="1181" spans="3:44" ht="18" customHeight="1">
      <c r="C1181" s="758"/>
      <c r="D1181" s="759"/>
      <c r="E1181" s="760"/>
      <c r="F1181" s="493"/>
      <c r="G1181" s="493"/>
      <c r="H1181" s="493"/>
      <c r="I1181" s="493"/>
      <c r="J1181" s="493"/>
      <c r="K1181" s="493"/>
      <c r="L1181" s="493"/>
      <c r="M1181" s="493"/>
      <c r="N1181" s="493"/>
      <c r="O1181" s="493"/>
      <c r="P1181" s="493"/>
      <c r="Q1181" s="493"/>
      <c r="R1181" s="493"/>
      <c r="S1181" s="493"/>
      <c r="T1181" s="493"/>
      <c r="U1181" s="493"/>
      <c r="V1181" s="466"/>
      <c r="W1181" s="467"/>
      <c r="X1181" s="468"/>
      <c r="Y1181" s="466"/>
      <c r="Z1181" s="467"/>
      <c r="AA1181" s="467"/>
      <c r="AB1181" s="468"/>
      <c r="AC1181" s="828"/>
      <c r="AD1181" s="829"/>
      <c r="AE1181" s="829"/>
      <c r="AF1181" s="830"/>
      <c r="AG1181" s="491"/>
      <c r="AH1181" s="491"/>
      <c r="AI1181" s="491"/>
      <c r="AJ1181" s="491"/>
      <c r="AK1181" s="491"/>
      <c r="AL1181" s="491"/>
      <c r="AM1181" s="491"/>
      <c r="AN1181" s="491"/>
      <c r="AO1181" s="491"/>
      <c r="AP1181" s="491"/>
      <c r="AQ1181" s="491"/>
      <c r="AR1181" s="492"/>
    </row>
    <row r="1182" spans="3:44" ht="18" customHeight="1">
      <c r="C1182" s="758"/>
      <c r="D1182" s="759"/>
      <c r="E1182" s="760"/>
      <c r="F1182" s="493"/>
      <c r="G1182" s="493"/>
      <c r="H1182" s="493"/>
      <c r="I1182" s="493"/>
      <c r="J1182" s="493"/>
      <c r="K1182" s="493"/>
      <c r="L1182" s="493"/>
      <c r="M1182" s="493"/>
      <c r="N1182" s="493"/>
      <c r="O1182" s="493"/>
      <c r="P1182" s="493"/>
      <c r="Q1182" s="493"/>
      <c r="R1182" s="493"/>
      <c r="S1182" s="493"/>
      <c r="T1182" s="493"/>
      <c r="U1182" s="493"/>
      <c r="V1182" s="466"/>
      <c r="W1182" s="467"/>
      <c r="X1182" s="468"/>
      <c r="Y1182" s="466"/>
      <c r="Z1182" s="467"/>
      <c r="AA1182" s="467"/>
      <c r="AB1182" s="468"/>
      <c r="AC1182" s="828"/>
      <c r="AD1182" s="829"/>
      <c r="AE1182" s="829"/>
      <c r="AF1182" s="830"/>
      <c r="AG1182" s="491"/>
      <c r="AH1182" s="491"/>
      <c r="AI1182" s="491"/>
      <c r="AJ1182" s="491"/>
      <c r="AK1182" s="491"/>
      <c r="AL1182" s="491"/>
      <c r="AM1182" s="491"/>
      <c r="AN1182" s="491"/>
      <c r="AO1182" s="491"/>
      <c r="AP1182" s="491"/>
      <c r="AQ1182" s="491"/>
      <c r="AR1182" s="492"/>
    </row>
    <row r="1183" spans="3:44" ht="18" customHeight="1">
      <c r="C1183" s="758"/>
      <c r="D1183" s="759"/>
      <c r="E1183" s="760"/>
      <c r="F1183" s="796"/>
      <c r="G1183" s="797"/>
      <c r="H1183" s="797"/>
      <c r="I1183" s="797"/>
      <c r="J1183" s="797"/>
      <c r="K1183" s="797"/>
      <c r="L1183" s="797"/>
      <c r="M1183" s="797"/>
      <c r="N1183" s="797"/>
      <c r="O1183" s="797"/>
      <c r="P1183" s="797"/>
      <c r="Q1183" s="797"/>
      <c r="R1183" s="797"/>
      <c r="S1183" s="797"/>
      <c r="T1183" s="797"/>
      <c r="U1183" s="798"/>
      <c r="V1183" s="466"/>
      <c r="W1183" s="467"/>
      <c r="X1183" s="468"/>
      <c r="Y1183" s="466"/>
      <c r="Z1183" s="467"/>
      <c r="AA1183" s="467"/>
      <c r="AB1183" s="468"/>
      <c r="AC1183" s="828"/>
      <c r="AD1183" s="829"/>
      <c r="AE1183" s="829"/>
      <c r="AF1183" s="830"/>
      <c r="AG1183" s="466"/>
      <c r="AH1183" s="467"/>
      <c r="AI1183" s="467"/>
      <c r="AJ1183" s="468"/>
      <c r="AK1183" s="466"/>
      <c r="AL1183" s="467"/>
      <c r="AM1183" s="467"/>
      <c r="AN1183" s="468"/>
      <c r="AO1183" s="466"/>
      <c r="AP1183" s="467"/>
      <c r="AQ1183" s="467"/>
      <c r="AR1183" s="823"/>
    </row>
    <row r="1184" spans="3:44" ht="18" customHeight="1">
      <c r="C1184" s="758"/>
      <c r="D1184" s="759"/>
      <c r="E1184" s="760"/>
      <c r="F1184" s="796"/>
      <c r="G1184" s="797"/>
      <c r="H1184" s="797"/>
      <c r="I1184" s="797"/>
      <c r="J1184" s="797"/>
      <c r="K1184" s="797"/>
      <c r="L1184" s="797"/>
      <c r="M1184" s="797"/>
      <c r="N1184" s="797"/>
      <c r="O1184" s="797"/>
      <c r="P1184" s="797"/>
      <c r="Q1184" s="797"/>
      <c r="R1184" s="797"/>
      <c r="S1184" s="797"/>
      <c r="T1184" s="797"/>
      <c r="U1184" s="798"/>
      <c r="V1184" s="466"/>
      <c r="W1184" s="467"/>
      <c r="X1184" s="468"/>
      <c r="Y1184" s="466"/>
      <c r="Z1184" s="467"/>
      <c r="AA1184" s="467"/>
      <c r="AB1184" s="468"/>
      <c r="AC1184" s="828"/>
      <c r="AD1184" s="829"/>
      <c r="AE1184" s="829"/>
      <c r="AF1184" s="830"/>
      <c r="AG1184" s="466"/>
      <c r="AH1184" s="467"/>
      <c r="AI1184" s="467"/>
      <c r="AJ1184" s="468"/>
      <c r="AK1184" s="466"/>
      <c r="AL1184" s="467"/>
      <c r="AM1184" s="467"/>
      <c r="AN1184" s="468"/>
      <c r="AO1184" s="466"/>
      <c r="AP1184" s="467"/>
      <c r="AQ1184" s="467"/>
      <c r="AR1184" s="823"/>
    </row>
    <row r="1185" spans="3:44" ht="18" customHeight="1">
      <c r="C1185" s="743"/>
      <c r="D1185" s="744"/>
      <c r="E1185" s="744"/>
      <c r="F1185" s="744"/>
      <c r="G1185" s="744"/>
      <c r="H1185" s="744"/>
      <c r="I1185" s="744"/>
      <c r="J1185" s="744"/>
      <c r="K1185" s="744"/>
      <c r="L1185" s="744"/>
      <c r="M1185" s="744"/>
      <c r="N1185" s="744"/>
      <c r="O1185" s="744"/>
      <c r="P1185" s="744"/>
      <c r="Q1185" s="744"/>
      <c r="R1185" s="744"/>
      <c r="S1185" s="744"/>
      <c r="T1185" s="744"/>
      <c r="U1185" s="744"/>
      <c r="V1185" s="744"/>
      <c r="W1185" s="744"/>
      <c r="X1185" s="824"/>
      <c r="Y1185" s="825" t="s">
        <v>74</v>
      </c>
      <c r="Z1185" s="826"/>
      <c r="AA1185" s="826"/>
      <c r="AB1185" s="826"/>
      <c r="AC1185" s="826"/>
      <c r="AD1185" s="826"/>
      <c r="AE1185" s="826"/>
      <c r="AF1185" s="826"/>
      <c r="AG1185" s="826"/>
      <c r="AH1185" s="826"/>
      <c r="AI1185" s="826"/>
      <c r="AJ1185" s="826"/>
      <c r="AK1185" s="826"/>
      <c r="AL1185" s="826"/>
      <c r="AM1185" s="826"/>
      <c r="AN1185" s="827"/>
      <c r="AO1185" s="477">
        <f>SUM(AO1177:AR1184)</f>
        <v>13.34</v>
      </c>
      <c r="AP1185" s="746"/>
      <c r="AQ1185" s="746"/>
      <c r="AR1185" s="747"/>
    </row>
    <row r="1187" spans="3:44" ht="18" customHeight="1">
      <c r="C1187" s="794" t="s">
        <v>43</v>
      </c>
      <c r="D1187" s="774"/>
      <c r="E1187" s="775"/>
      <c r="F1187" s="773" t="s">
        <v>75</v>
      </c>
      <c r="G1187" s="774"/>
      <c r="H1187" s="774"/>
      <c r="I1187" s="774"/>
      <c r="J1187" s="774"/>
      <c r="K1187" s="774"/>
      <c r="L1187" s="774"/>
      <c r="M1187" s="774"/>
      <c r="N1187" s="774"/>
      <c r="O1187" s="774"/>
      <c r="P1187" s="774"/>
      <c r="Q1187" s="774"/>
      <c r="R1187" s="774"/>
      <c r="S1187" s="774"/>
      <c r="T1187" s="774"/>
      <c r="U1187" s="774"/>
      <c r="V1187" s="774"/>
      <c r="W1187" s="774"/>
      <c r="X1187" s="774"/>
      <c r="Y1187" s="774"/>
      <c r="Z1187" s="774"/>
      <c r="AA1187" s="774"/>
      <c r="AB1187" s="775"/>
      <c r="AC1187" s="773" t="s">
        <v>76</v>
      </c>
      <c r="AD1187" s="774"/>
      <c r="AE1187" s="774"/>
      <c r="AF1187" s="775"/>
      <c r="AG1187" s="773" t="s">
        <v>249</v>
      </c>
      <c r="AH1187" s="774"/>
      <c r="AI1187" s="774"/>
      <c r="AJ1187" s="775"/>
      <c r="AK1187" s="773" t="s">
        <v>77</v>
      </c>
      <c r="AL1187" s="774"/>
      <c r="AM1187" s="774"/>
      <c r="AN1187" s="775"/>
      <c r="AO1187" s="773" t="s">
        <v>71</v>
      </c>
      <c r="AP1187" s="774"/>
      <c r="AQ1187" s="774"/>
      <c r="AR1187" s="779"/>
    </row>
    <row r="1188" spans="3:44" ht="18" customHeight="1">
      <c r="C1188" s="795"/>
      <c r="D1188" s="777"/>
      <c r="E1188" s="778"/>
      <c r="F1188" s="776"/>
      <c r="G1188" s="777"/>
      <c r="H1188" s="777"/>
      <c r="I1188" s="777"/>
      <c r="J1188" s="777"/>
      <c r="K1188" s="777"/>
      <c r="L1188" s="777"/>
      <c r="M1188" s="777"/>
      <c r="N1188" s="777"/>
      <c r="O1188" s="777"/>
      <c r="P1188" s="777"/>
      <c r="Q1188" s="777"/>
      <c r="R1188" s="777"/>
      <c r="S1188" s="777"/>
      <c r="T1188" s="777"/>
      <c r="U1188" s="777"/>
      <c r="V1188" s="777"/>
      <c r="W1188" s="777"/>
      <c r="X1188" s="777"/>
      <c r="Y1188" s="777"/>
      <c r="Z1188" s="777"/>
      <c r="AA1188" s="777"/>
      <c r="AB1188" s="778"/>
      <c r="AC1188" s="776"/>
      <c r="AD1188" s="777"/>
      <c r="AE1188" s="777"/>
      <c r="AF1188" s="778"/>
      <c r="AG1188" s="776"/>
      <c r="AH1188" s="777"/>
      <c r="AI1188" s="777"/>
      <c r="AJ1188" s="778"/>
      <c r="AK1188" s="776"/>
      <c r="AL1188" s="777"/>
      <c r="AM1188" s="777"/>
      <c r="AN1188" s="778"/>
      <c r="AO1188" s="776"/>
      <c r="AP1188" s="777"/>
      <c r="AQ1188" s="777"/>
      <c r="AR1188" s="780"/>
    </row>
    <row r="1189" spans="3:44" ht="18" customHeight="1">
      <c r="C1189" s="781" t="s">
        <v>940</v>
      </c>
      <c r="D1189" s="782"/>
      <c r="E1189" s="783"/>
      <c r="F1189" s="493" t="s">
        <v>105</v>
      </c>
      <c r="G1189" s="493"/>
      <c r="H1189" s="493"/>
      <c r="I1189" s="493"/>
      <c r="J1189" s="493"/>
      <c r="K1189" s="493"/>
      <c r="L1189" s="493"/>
      <c r="M1189" s="493"/>
      <c r="N1189" s="493"/>
      <c r="O1189" s="493"/>
      <c r="P1189" s="493"/>
      <c r="Q1189" s="493"/>
      <c r="R1189" s="493"/>
      <c r="S1189" s="493"/>
      <c r="T1189" s="493"/>
      <c r="U1189" s="493"/>
      <c r="V1189" s="493"/>
      <c r="W1189" s="493"/>
      <c r="X1189" s="493"/>
      <c r="Y1189" s="493"/>
      <c r="Z1189" s="493"/>
      <c r="AA1189" s="493"/>
      <c r="AB1189" s="493"/>
      <c r="AC1189" s="770"/>
      <c r="AD1189" s="771"/>
      <c r="AE1189" s="771"/>
      <c r="AF1189" s="790"/>
      <c r="AG1189" s="770">
        <v>4.5</v>
      </c>
      <c r="AH1189" s="771"/>
      <c r="AI1189" s="771"/>
      <c r="AJ1189" s="790"/>
      <c r="AK1189" s="449">
        <f>VLOOKUP(C1189,[5]MÃODEOBRA!A$1:D$65536,4,FALSE)</f>
        <v>22.98488</v>
      </c>
      <c r="AL1189" s="449"/>
      <c r="AM1189" s="449"/>
      <c r="AN1189" s="449"/>
      <c r="AO1189" s="491">
        <f>ROUND(AG1189*AK1189,2)</f>
        <v>103.43</v>
      </c>
      <c r="AP1189" s="491"/>
      <c r="AQ1189" s="491"/>
      <c r="AR1189" s="492"/>
    </row>
    <row r="1190" spans="3:44" ht="18" customHeight="1">
      <c r="C1190" s="758"/>
      <c r="D1190" s="759"/>
      <c r="E1190" s="760"/>
      <c r="F1190" s="493"/>
      <c r="G1190" s="493"/>
      <c r="H1190" s="493"/>
      <c r="I1190" s="493"/>
      <c r="J1190" s="493"/>
      <c r="K1190" s="493"/>
      <c r="L1190" s="493"/>
      <c r="M1190" s="493"/>
      <c r="N1190" s="493"/>
      <c r="O1190" s="493"/>
      <c r="P1190" s="493"/>
      <c r="Q1190" s="493"/>
      <c r="R1190" s="493"/>
      <c r="S1190" s="493"/>
      <c r="T1190" s="493"/>
      <c r="U1190" s="493"/>
      <c r="V1190" s="493"/>
      <c r="W1190" s="493"/>
      <c r="X1190" s="493"/>
      <c r="Y1190" s="493"/>
      <c r="Z1190" s="493"/>
      <c r="AA1190" s="493"/>
      <c r="AB1190" s="493"/>
      <c r="AC1190" s="740"/>
      <c r="AD1190" s="741"/>
      <c r="AE1190" s="741"/>
      <c r="AF1190" s="757"/>
      <c r="AG1190" s="740"/>
      <c r="AH1190" s="741"/>
      <c r="AI1190" s="741"/>
      <c r="AJ1190" s="757"/>
      <c r="AK1190" s="449"/>
      <c r="AL1190" s="449"/>
      <c r="AM1190" s="449"/>
      <c r="AN1190" s="449"/>
      <c r="AO1190" s="491"/>
      <c r="AP1190" s="491"/>
      <c r="AQ1190" s="491"/>
      <c r="AR1190" s="492"/>
    </row>
    <row r="1191" spans="3:44" ht="18" customHeight="1">
      <c r="C1191" s="758"/>
      <c r="D1191" s="759"/>
      <c r="E1191" s="760"/>
      <c r="F1191" s="796"/>
      <c r="G1191" s="797"/>
      <c r="H1191" s="797"/>
      <c r="I1191" s="797"/>
      <c r="J1191" s="797"/>
      <c r="K1191" s="797"/>
      <c r="L1191" s="797"/>
      <c r="M1191" s="797"/>
      <c r="N1191" s="797"/>
      <c r="O1191" s="797"/>
      <c r="P1191" s="797"/>
      <c r="Q1191" s="797"/>
      <c r="R1191" s="797"/>
      <c r="S1191" s="797"/>
      <c r="T1191" s="797"/>
      <c r="U1191" s="797"/>
      <c r="V1191" s="797"/>
      <c r="W1191" s="797"/>
      <c r="X1191" s="797"/>
      <c r="Y1191" s="797"/>
      <c r="Z1191" s="797"/>
      <c r="AA1191" s="797"/>
      <c r="AB1191" s="798"/>
      <c r="AC1191" s="740"/>
      <c r="AD1191" s="741"/>
      <c r="AE1191" s="741"/>
      <c r="AF1191" s="757"/>
      <c r="AG1191" s="740"/>
      <c r="AH1191" s="741"/>
      <c r="AI1191" s="741"/>
      <c r="AJ1191" s="757"/>
      <c r="AK1191" s="740"/>
      <c r="AL1191" s="741"/>
      <c r="AM1191" s="741"/>
      <c r="AN1191" s="757"/>
      <c r="AO1191" s="466"/>
      <c r="AP1191" s="467"/>
      <c r="AQ1191" s="467"/>
      <c r="AR1191" s="823"/>
    </row>
    <row r="1192" spans="3:44" ht="18" customHeight="1">
      <c r="C1192" s="758"/>
      <c r="D1192" s="759"/>
      <c r="E1192" s="760"/>
      <c r="F1192" s="796"/>
      <c r="G1192" s="797"/>
      <c r="H1192" s="797"/>
      <c r="I1192" s="797"/>
      <c r="J1192" s="797"/>
      <c r="K1192" s="797"/>
      <c r="L1192" s="797"/>
      <c r="M1192" s="797"/>
      <c r="N1192" s="797"/>
      <c r="O1192" s="797"/>
      <c r="P1192" s="797"/>
      <c r="Q1192" s="797"/>
      <c r="R1192" s="797"/>
      <c r="S1192" s="797"/>
      <c r="T1192" s="797"/>
      <c r="U1192" s="797"/>
      <c r="V1192" s="797"/>
      <c r="W1192" s="797"/>
      <c r="X1192" s="797"/>
      <c r="Y1192" s="797"/>
      <c r="Z1192" s="797"/>
      <c r="AA1192" s="797"/>
      <c r="AB1192" s="798"/>
      <c r="AC1192" s="740"/>
      <c r="AD1192" s="741"/>
      <c r="AE1192" s="741"/>
      <c r="AF1192" s="757"/>
      <c r="AG1192" s="740"/>
      <c r="AH1192" s="741"/>
      <c r="AI1192" s="741"/>
      <c r="AJ1192" s="757"/>
      <c r="AK1192" s="740"/>
      <c r="AL1192" s="741"/>
      <c r="AM1192" s="741"/>
      <c r="AN1192" s="757"/>
      <c r="AO1192" s="466"/>
      <c r="AP1192" s="467"/>
      <c r="AQ1192" s="467"/>
      <c r="AR1192" s="823"/>
    </row>
    <row r="1193" spans="3:44" ht="18" customHeight="1">
      <c r="C1193" s="758"/>
      <c r="D1193" s="759"/>
      <c r="E1193" s="760"/>
      <c r="F1193" s="796"/>
      <c r="G1193" s="797"/>
      <c r="H1193" s="797"/>
      <c r="I1193" s="797"/>
      <c r="J1193" s="797"/>
      <c r="K1193" s="797"/>
      <c r="L1193" s="797"/>
      <c r="M1193" s="797"/>
      <c r="N1193" s="797"/>
      <c r="O1193" s="797"/>
      <c r="P1193" s="797"/>
      <c r="Q1193" s="797"/>
      <c r="R1193" s="797"/>
      <c r="S1193" s="797"/>
      <c r="T1193" s="797"/>
      <c r="U1193" s="797"/>
      <c r="V1193" s="797"/>
      <c r="W1193" s="797"/>
      <c r="X1193" s="797"/>
      <c r="Y1193" s="797"/>
      <c r="Z1193" s="797"/>
      <c r="AA1193" s="797"/>
      <c r="AB1193" s="798"/>
      <c r="AC1193" s="740"/>
      <c r="AD1193" s="741"/>
      <c r="AE1193" s="741"/>
      <c r="AF1193" s="757"/>
      <c r="AG1193" s="740"/>
      <c r="AH1193" s="741"/>
      <c r="AI1193" s="741"/>
      <c r="AJ1193" s="757"/>
      <c r="AK1193" s="740"/>
      <c r="AL1193" s="741"/>
      <c r="AM1193" s="741"/>
      <c r="AN1193" s="757"/>
      <c r="AO1193" s="466"/>
      <c r="AP1193" s="467"/>
      <c r="AQ1193" s="467"/>
      <c r="AR1193" s="823"/>
    </row>
    <row r="1194" spans="3:44" ht="18" customHeight="1">
      <c r="C1194" s="758"/>
      <c r="D1194" s="759"/>
      <c r="E1194" s="760"/>
      <c r="F1194" s="796"/>
      <c r="G1194" s="797"/>
      <c r="H1194" s="797"/>
      <c r="I1194" s="797"/>
      <c r="J1194" s="797"/>
      <c r="K1194" s="797"/>
      <c r="L1194" s="797"/>
      <c r="M1194" s="797"/>
      <c r="N1194" s="797"/>
      <c r="O1194" s="797"/>
      <c r="P1194" s="797"/>
      <c r="Q1194" s="797"/>
      <c r="R1194" s="797"/>
      <c r="S1194" s="797"/>
      <c r="T1194" s="797"/>
      <c r="U1194" s="797"/>
      <c r="V1194" s="797"/>
      <c r="W1194" s="797"/>
      <c r="X1194" s="797"/>
      <c r="Y1194" s="797"/>
      <c r="Z1194" s="797"/>
      <c r="AA1194" s="797"/>
      <c r="AB1194" s="798"/>
      <c r="AC1194" s="740"/>
      <c r="AD1194" s="741"/>
      <c r="AE1194" s="741"/>
      <c r="AF1194" s="757"/>
      <c r="AG1194" s="740"/>
      <c r="AH1194" s="741"/>
      <c r="AI1194" s="741"/>
      <c r="AJ1194" s="757"/>
      <c r="AK1194" s="740"/>
      <c r="AL1194" s="741"/>
      <c r="AM1194" s="741"/>
      <c r="AN1194" s="757"/>
      <c r="AO1194" s="466"/>
      <c r="AP1194" s="467"/>
      <c r="AQ1194" s="467"/>
      <c r="AR1194" s="823"/>
    </row>
    <row r="1195" spans="3:44" ht="18" customHeight="1">
      <c r="C1195" s="758"/>
      <c r="D1195" s="759"/>
      <c r="E1195" s="760"/>
      <c r="F1195" s="796"/>
      <c r="G1195" s="797"/>
      <c r="H1195" s="797"/>
      <c r="I1195" s="797"/>
      <c r="J1195" s="797"/>
      <c r="K1195" s="797"/>
      <c r="L1195" s="797"/>
      <c r="M1195" s="797"/>
      <c r="N1195" s="797"/>
      <c r="O1195" s="797"/>
      <c r="P1195" s="797"/>
      <c r="Q1195" s="797"/>
      <c r="R1195" s="797"/>
      <c r="S1195" s="797"/>
      <c r="T1195" s="797"/>
      <c r="U1195" s="797"/>
      <c r="V1195" s="797"/>
      <c r="W1195" s="797"/>
      <c r="X1195" s="797"/>
      <c r="Y1195" s="797"/>
      <c r="Z1195" s="797"/>
      <c r="AA1195" s="797"/>
      <c r="AB1195" s="798"/>
      <c r="AC1195" s="740"/>
      <c r="AD1195" s="741"/>
      <c r="AE1195" s="741"/>
      <c r="AF1195" s="757"/>
      <c r="AG1195" s="740"/>
      <c r="AH1195" s="741"/>
      <c r="AI1195" s="741"/>
      <c r="AJ1195" s="757"/>
      <c r="AK1195" s="740"/>
      <c r="AL1195" s="741"/>
      <c r="AM1195" s="741"/>
      <c r="AN1195" s="757"/>
      <c r="AO1195" s="466"/>
      <c r="AP1195" s="467"/>
      <c r="AQ1195" s="467"/>
      <c r="AR1195" s="823"/>
    </row>
    <row r="1196" spans="3:44" ht="18" customHeight="1">
      <c r="C1196" s="758"/>
      <c r="D1196" s="759"/>
      <c r="E1196" s="760"/>
      <c r="F1196" s="796"/>
      <c r="G1196" s="797"/>
      <c r="H1196" s="797"/>
      <c r="I1196" s="797"/>
      <c r="J1196" s="797"/>
      <c r="K1196" s="797"/>
      <c r="L1196" s="797"/>
      <c r="M1196" s="797"/>
      <c r="N1196" s="797"/>
      <c r="O1196" s="797"/>
      <c r="P1196" s="797"/>
      <c r="Q1196" s="797"/>
      <c r="R1196" s="797"/>
      <c r="S1196" s="797"/>
      <c r="T1196" s="797"/>
      <c r="U1196" s="797"/>
      <c r="V1196" s="797"/>
      <c r="W1196" s="797"/>
      <c r="X1196" s="797"/>
      <c r="Y1196" s="797"/>
      <c r="Z1196" s="797"/>
      <c r="AA1196" s="797"/>
      <c r="AB1196" s="798"/>
      <c r="AC1196" s="740"/>
      <c r="AD1196" s="741"/>
      <c r="AE1196" s="741"/>
      <c r="AF1196" s="757"/>
      <c r="AG1196" s="740"/>
      <c r="AH1196" s="741"/>
      <c r="AI1196" s="741"/>
      <c r="AJ1196" s="757"/>
      <c r="AK1196" s="740"/>
      <c r="AL1196" s="741"/>
      <c r="AM1196" s="741"/>
      <c r="AN1196" s="757"/>
      <c r="AO1196" s="466"/>
      <c r="AP1196" s="467"/>
      <c r="AQ1196" s="467"/>
      <c r="AR1196" s="823"/>
    </row>
    <row r="1197" spans="3:44" ht="18" customHeight="1">
      <c r="C1197" s="814"/>
      <c r="D1197" s="815"/>
      <c r="E1197" s="815"/>
      <c r="F1197" s="815"/>
      <c r="G1197" s="815"/>
      <c r="H1197" s="815"/>
      <c r="I1197" s="815"/>
      <c r="J1197" s="815"/>
      <c r="K1197" s="815"/>
      <c r="L1197" s="815"/>
      <c r="M1197" s="815"/>
      <c r="N1197" s="815"/>
      <c r="O1197" s="815"/>
      <c r="P1197" s="815"/>
      <c r="Q1197" s="815"/>
      <c r="R1197" s="815"/>
      <c r="S1197" s="815"/>
      <c r="T1197" s="815"/>
      <c r="U1197" s="815"/>
      <c r="V1197" s="815"/>
      <c r="W1197" s="815"/>
      <c r="X1197" s="815"/>
      <c r="Y1197" s="816" t="s">
        <v>78</v>
      </c>
      <c r="Z1197" s="816"/>
      <c r="AA1197" s="816"/>
      <c r="AB1197" s="816"/>
      <c r="AC1197" s="816"/>
      <c r="AD1197" s="816"/>
      <c r="AE1197" s="816"/>
      <c r="AF1197" s="483"/>
      <c r="AG1197" s="817" t="s">
        <v>413</v>
      </c>
      <c r="AH1197" s="818"/>
      <c r="AI1197" s="818"/>
      <c r="AJ1197" s="819"/>
      <c r="AK1197" s="466">
        <f>SUM(AO1189:AR1196)</f>
        <v>103.43</v>
      </c>
      <c r="AL1197" s="467"/>
      <c r="AM1197" s="467"/>
      <c r="AN1197" s="468"/>
      <c r="AO1197" s="820">
        <f>ROUND(AG1197*AK1197,2)</f>
        <v>16.04</v>
      </c>
      <c r="AP1197" s="821"/>
      <c r="AQ1197" s="821"/>
      <c r="AR1197" s="822"/>
    </row>
    <row r="1198" spans="3:44" ht="18" customHeight="1">
      <c r="C1198" s="743"/>
      <c r="D1198" s="744"/>
      <c r="E1198" s="744"/>
      <c r="F1198" s="744"/>
      <c r="G1198" s="744"/>
      <c r="H1198" s="744"/>
      <c r="I1198" s="744"/>
      <c r="J1198" s="744"/>
      <c r="K1198" s="744"/>
      <c r="L1198" s="744"/>
      <c r="M1198" s="744"/>
      <c r="N1198" s="744"/>
      <c r="O1198" s="744"/>
      <c r="P1198" s="744"/>
      <c r="Q1198" s="744"/>
      <c r="R1198" s="744"/>
      <c r="S1198" s="744"/>
      <c r="T1198" s="744"/>
      <c r="U1198" s="744"/>
      <c r="V1198" s="744"/>
      <c r="W1198" s="744"/>
      <c r="X1198" s="744"/>
      <c r="Y1198" s="745" t="s">
        <v>79</v>
      </c>
      <c r="Z1198" s="745"/>
      <c r="AA1198" s="745"/>
      <c r="AB1198" s="745"/>
      <c r="AC1198" s="745"/>
      <c r="AD1198" s="745"/>
      <c r="AE1198" s="745"/>
      <c r="AF1198" s="745"/>
      <c r="AG1198" s="745"/>
      <c r="AH1198" s="745"/>
      <c r="AI1198" s="745"/>
      <c r="AJ1198" s="745"/>
      <c r="AK1198" s="745"/>
      <c r="AL1198" s="745"/>
      <c r="AM1198" s="745"/>
      <c r="AN1198" s="430"/>
      <c r="AO1198" s="477">
        <f>SUM(AO1189:AR1197)</f>
        <v>119.47</v>
      </c>
      <c r="AP1198" s="746"/>
      <c r="AQ1198" s="746"/>
      <c r="AR1198" s="747"/>
    </row>
    <row r="1200" spans="3:44" ht="18" customHeight="1">
      <c r="C1200" s="802"/>
      <c r="D1200" s="803"/>
      <c r="E1200" s="803"/>
      <c r="F1200" s="803"/>
      <c r="G1200" s="803"/>
      <c r="H1200" s="803"/>
      <c r="I1200" s="803"/>
      <c r="J1200" s="803"/>
      <c r="K1200" s="803"/>
      <c r="L1200" s="803"/>
      <c r="M1200" s="803"/>
      <c r="N1200" s="803"/>
      <c r="O1200" s="803"/>
      <c r="P1200" s="803"/>
      <c r="Q1200" s="803"/>
      <c r="R1200" s="803"/>
      <c r="S1200" s="803"/>
      <c r="T1200" s="803"/>
      <c r="U1200" s="803"/>
      <c r="V1200" s="803"/>
      <c r="W1200" s="803"/>
      <c r="X1200" s="803"/>
      <c r="Y1200" s="804" t="s">
        <v>80</v>
      </c>
      <c r="Z1200" s="805"/>
      <c r="AA1200" s="805"/>
      <c r="AB1200" s="805"/>
      <c r="AC1200" s="805"/>
      <c r="AD1200" s="805"/>
      <c r="AE1200" s="805"/>
      <c r="AF1200" s="805"/>
      <c r="AG1200" s="805"/>
      <c r="AH1200" s="805"/>
      <c r="AI1200" s="805"/>
      <c r="AJ1200" s="805"/>
      <c r="AK1200" s="805"/>
      <c r="AL1200" s="805"/>
      <c r="AM1200" s="805"/>
      <c r="AN1200" s="806"/>
      <c r="AO1200" s="807">
        <f>AO1185+AO1198</f>
        <v>132.81</v>
      </c>
      <c r="AP1200" s="808"/>
      <c r="AQ1200" s="808"/>
      <c r="AR1200" s="809"/>
    </row>
    <row r="1201" spans="3:44" ht="18" customHeight="1">
      <c r="C1201" s="810" t="s">
        <v>81</v>
      </c>
      <c r="D1201" s="745"/>
      <c r="E1201" s="745"/>
      <c r="F1201" s="745"/>
      <c r="G1201" s="745"/>
      <c r="H1201" s="745"/>
      <c r="I1201" s="745"/>
      <c r="J1201" s="745"/>
      <c r="K1201" s="745"/>
      <c r="L1201" s="745"/>
      <c r="M1201" s="745"/>
      <c r="N1201" s="745"/>
      <c r="O1201" s="745"/>
      <c r="P1201" s="430"/>
      <c r="Q1201" s="477">
        <v>1</v>
      </c>
      <c r="R1201" s="746"/>
      <c r="S1201" s="746"/>
      <c r="T1201" s="746"/>
      <c r="U1201" s="746"/>
      <c r="V1201" s="745" t="s">
        <v>194</v>
      </c>
      <c r="W1201" s="745"/>
      <c r="X1201" s="430"/>
      <c r="Y1201" s="804" t="s">
        <v>82</v>
      </c>
      <c r="Z1201" s="805"/>
      <c r="AA1201" s="805"/>
      <c r="AB1201" s="805"/>
      <c r="AC1201" s="805"/>
      <c r="AD1201" s="805"/>
      <c r="AE1201" s="805"/>
      <c r="AF1201" s="805"/>
      <c r="AG1201" s="805"/>
      <c r="AH1201" s="805"/>
      <c r="AI1201" s="805"/>
      <c r="AJ1201" s="805"/>
      <c r="AK1201" s="805"/>
      <c r="AL1201" s="805"/>
      <c r="AM1201" s="805"/>
      <c r="AN1201" s="806"/>
      <c r="AO1201" s="811">
        <f>ROUND(AO1200/Q1201,2)</f>
        <v>132.81</v>
      </c>
      <c r="AP1201" s="812"/>
      <c r="AQ1201" s="812"/>
      <c r="AR1201" s="813"/>
    </row>
    <row r="1203" spans="3:44" ht="18" customHeight="1">
      <c r="C1203" s="794" t="s">
        <v>43</v>
      </c>
      <c r="D1203" s="774"/>
      <c r="E1203" s="775"/>
      <c r="F1203" s="773" t="s">
        <v>83</v>
      </c>
      <c r="G1203" s="774"/>
      <c r="H1203" s="774"/>
      <c r="I1203" s="774"/>
      <c r="J1203" s="774"/>
      <c r="K1203" s="774"/>
      <c r="L1203" s="774"/>
      <c r="M1203" s="774"/>
      <c r="N1203" s="774"/>
      <c r="O1203" s="774"/>
      <c r="P1203" s="774"/>
      <c r="Q1203" s="774"/>
      <c r="R1203" s="774"/>
      <c r="S1203" s="774"/>
      <c r="T1203" s="774"/>
      <c r="U1203" s="774"/>
      <c r="V1203" s="774"/>
      <c r="W1203" s="774"/>
      <c r="X1203" s="774"/>
      <c r="Y1203" s="774"/>
      <c r="Z1203" s="774"/>
      <c r="AA1203" s="774"/>
      <c r="AB1203" s="775"/>
      <c r="AC1203" s="773" t="s">
        <v>84</v>
      </c>
      <c r="AD1203" s="774"/>
      <c r="AE1203" s="774"/>
      <c r="AF1203" s="775"/>
      <c r="AG1203" s="773" t="s">
        <v>85</v>
      </c>
      <c r="AH1203" s="774"/>
      <c r="AI1203" s="774"/>
      <c r="AJ1203" s="775"/>
      <c r="AK1203" s="773" t="s">
        <v>86</v>
      </c>
      <c r="AL1203" s="774"/>
      <c r="AM1203" s="774"/>
      <c r="AN1203" s="775"/>
      <c r="AO1203" s="773" t="s">
        <v>87</v>
      </c>
      <c r="AP1203" s="774"/>
      <c r="AQ1203" s="774"/>
      <c r="AR1203" s="779"/>
    </row>
    <row r="1204" spans="3:44" ht="18" customHeight="1">
      <c r="C1204" s="795"/>
      <c r="D1204" s="777"/>
      <c r="E1204" s="778"/>
      <c r="F1204" s="776"/>
      <c r="G1204" s="777"/>
      <c r="H1204" s="777"/>
      <c r="I1204" s="777"/>
      <c r="J1204" s="777"/>
      <c r="K1204" s="777"/>
      <c r="L1204" s="777"/>
      <c r="M1204" s="777"/>
      <c r="N1204" s="777"/>
      <c r="O1204" s="777"/>
      <c r="P1204" s="777"/>
      <c r="Q1204" s="777"/>
      <c r="R1204" s="777"/>
      <c r="S1204" s="777"/>
      <c r="T1204" s="777"/>
      <c r="U1204" s="777"/>
      <c r="V1204" s="777"/>
      <c r="W1204" s="777"/>
      <c r="X1204" s="777"/>
      <c r="Y1204" s="777"/>
      <c r="Z1204" s="777"/>
      <c r="AA1204" s="777"/>
      <c r="AB1204" s="778"/>
      <c r="AC1204" s="776"/>
      <c r="AD1204" s="777"/>
      <c r="AE1204" s="777"/>
      <c r="AF1204" s="778"/>
      <c r="AG1204" s="776"/>
      <c r="AH1204" s="777"/>
      <c r="AI1204" s="777"/>
      <c r="AJ1204" s="778"/>
      <c r="AK1204" s="776"/>
      <c r="AL1204" s="777"/>
      <c r="AM1204" s="777"/>
      <c r="AN1204" s="778"/>
      <c r="AO1204" s="776"/>
      <c r="AP1204" s="777"/>
      <c r="AQ1204" s="777"/>
      <c r="AR1204" s="780"/>
    </row>
    <row r="1205" spans="3:44" ht="18" customHeight="1">
      <c r="C1205" s="758" t="s">
        <v>1377</v>
      </c>
      <c r="D1205" s="759"/>
      <c r="E1205" s="760"/>
      <c r="F1205" s="796" t="s">
        <v>417</v>
      </c>
      <c r="G1205" s="797"/>
      <c r="H1205" s="797"/>
      <c r="I1205" s="797"/>
      <c r="J1205" s="797"/>
      <c r="K1205" s="797"/>
      <c r="L1205" s="797"/>
      <c r="M1205" s="797"/>
      <c r="N1205" s="797"/>
      <c r="O1205" s="797"/>
      <c r="P1205" s="797"/>
      <c r="Q1205" s="797"/>
      <c r="R1205" s="797"/>
      <c r="S1205" s="797"/>
      <c r="T1205" s="797"/>
      <c r="U1205" s="797"/>
      <c r="V1205" s="797"/>
      <c r="W1205" s="797"/>
      <c r="X1205" s="797"/>
      <c r="Y1205" s="797"/>
      <c r="Z1205" s="797"/>
      <c r="AA1205" s="797"/>
      <c r="AB1205" s="798"/>
      <c r="AC1205" s="799" t="s">
        <v>245</v>
      </c>
      <c r="AD1205" s="800"/>
      <c r="AE1205" s="800"/>
      <c r="AF1205" s="801"/>
      <c r="AG1205" s="466">
        <f>TRUNC(373.21/1.2031,2)</f>
        <v>310.2</v>
      </c>
      <c r="AH1205" s="467"/>
      <c r="AI1205" s="467"/>
      <c r="AJ1205" s="468"/>
      <c r="AK1205" s="737">
        <v>3</v>
      </c>
      <c r="AL1205" s="738"/>
      <c r="AM1205" s="738"/>
      <c r="AN1205" s="739"/>
      <c r="AO1205" s="740">
        <f>ROUND(AG1205*AK1205,2)</f>
        <v>930.6</v>
      </c>
      <c r="AP1205" s="741"/>
      <c r="AQ1205" s="741"/>
      <c r="AR1205" s="742"/>
    </row>
    <row r="1206" spans="3:44" ht="18" customHeight="1">
      <c r="C1206" s="758" t="s">
        <v>1376</v>
      </c>
      <c r="D1206" s="759"/>
      <c r="E1206" s="760"/>
      <c r="F1206" s="796" t="s">
        <v>370</v>
      </c>
      <c r="G1206" s="797"/>
      <c r="H1206" s="797"/>
      <c r="I1206" s="797"/>
      <c r="J1206" s="797"/>
      <c r="K1206" s="797"/>
      <c r="L1206" s="797"/>
      <c r="M1206" s="797"/>
      <c r="N1206" s="797"/>
      <c r="O1206" s="797"/>
      <c r="P1206" s="797"/>
      <c r="Q1206" s="797"/>
      <c r="R1206" s="797"/>
      <c r="S1206" s="797"/>
      <c r="T1206" s="797"/>
      <c r="U1206" s="797"/>
      <c r="V1206" s="797"/>
      <c r="W1206" s="797"/>
      <c r="X1206" s="797"/>
      <c r="Y1206" s="797"/>
      <c r="Z1206" s="797"/>
      <c r="AA1206" s="797"/>
      <c r="AB1206" s="798"/>
      <c r="AC1206" s="799" t="s">
        <v>309</v>
      </c>
      <c r="AD1206" s="800"/>
      <c r="AE1206" s="800"/>
      <c r="AF1206" s="801"/>
      <c r="AG1206" s="466">
        <f>TRUNC(43.8/1.2031,2)</f>
        <v>36.4</v>
      </c>
      <c r="AH1206" s="467"/>
      <c r="AI1206" s="467"/>
      <c r="AJ1206" s="468"/>
      <c r="AK1206" s="737">
        <v>10</v>
      </c>
      <c r="AL1206" s="738"/>
      <c r="AM1206" s="738"/>
      <c r="AN1206" s="739"/>
      <c r="AO1206" s="740">
        <f>ROUND(AG1206*AK1206,2)</f>
        <v>364</v>
      </c>
      <c r="AP1206" s="741"/>
      <c r="AQ1206" s="741"/>
      <c r="AR1206" s="742"/>
    </row>
    <row r="1207" spans="3:44" ht="18" customHeight="1">
      <c r="C1207" s="758"/>
      <c r="D1207" s="759"/>
      <c r="E1207" s="760"/>
      <c r="F1207" s="796"/>
      <c r="G1207" s="797"/>
      <c r="H1207" s="797"/>
      <c r="I1207" s="797"/>
      <c r="J1207" s="797"/>
      <c r="K1207" s="797"/>
      <c r="L1207" s="797"/>
      <c r="M1207" s="797"/>
      <c r="N1207" s="797"/>
      <c r="O1207" s="797"/>
      <c r="P1207" s="797"/>
      <c r="Q1207" s="797"/>
      <c r="R1207" s="797"/>
      <c r="S1207" s="797"/>
      <c r="T1207" s="797"/>
      <c r="U1207" s="797"/>
      <c r="V1207" s="797"/>
      <c r="W1207" s="797"/>
      <c r="X1207" s="797"/>
      <c r="Y1207" s="797"/>
      <c r="Z1207" s="797"/>
      <c r="AA1207" s="797"/>
      <c r="AB1207" s="798"/>
      <c r="AC1207" s="799"/>
      <c r="AD1207" s="800"/>
      <c r="AE1207" s="800"/>
      <c r="AF1207" s="801"/>
      <c r="AG1207" s="466"/>
      <c r="AH1207" s="467"/>
      <c r="AI1207" s="467"/>
      <c r="AJ1207" s="468"/>
      <c r="AK1207" s="737"/>
      <c r="AL1207" s="738"/>
      <c r="AM1207" s="738"/>
      <c r="AN1207" s="739"/>
      <c r="AO1207" s="740"/>
      <c r="AP1207" s="741"/>
      <c r="AQ1207" s="741"/>
      <c r="AR1207" s="742"/>
    </row>
    <row r="1208" spans="3:44" ht="18" customHeight="1">
      <c r="C1208" s="758"/>
      <c r="D1208" s="759"/>
      <c r="E1208" s="760"/>
      <c r="F1208" s="796"/>
      <c r="G1208" s="797"/>
      <c r="H1208" s="797"/>
      <c r="I1208" s="797"/>
      <c r="J1208" s="797"/>
      <c r="K1208" s="797"/>
      <c r="L1208" s="797"/>
      <c r="M1208" s="797"/>
      <c r="N1208" s="797"/>
      <c r="O1208" s="797"/>
      <c r="P1208" s="797"/>
      <c r="Q1208" s="797"/>
      <c r="R1208" s="797"/>
      <c r="S1208" s="797"/>
      <c r="T1208" s="797"/>
      <c r="U1208" s="797"/>
      <c r="V1208" s="797"/>
      <c r="W1208" s="797"/>
      <c r="X1208" s="797"/>
      <c r="Y1208" s="797"/>
      <c r="Z1208" s="797"/>
      <c r="AA1208" s="797"/>
      <c r="AB1208" s="798"/>
      <c r="AC1208" s="799"/>
      <c r="AD1208" s="800"/>
      <c r="AE1208" s="800"/>
      <c r="AF1208" s="801"/>
      <c r="AG1208" s="466"/>
      <c r="AH1208" s="467"/>
      <c r="AI1208" s="467"/>
      <c r="AJ1208" s="468"/>
      <c r="AK1208" s="737"/>
      <c r="AL1208" s="738"/>
      <c r="AM1208" s="738"/>
      <c r="AN1208" s="739"/>
      <c r="AO1208" s="740"/>
      <c r="AP1208" s="741"/>
      <c r="AQ1208" s="741"/>
      <c r="AR1208" s="742"/>
    </row>
    <row r="1209" spans="3:44" ht="18" customHeight="1">
      <c r="C1209" s="758"/>
      <c r="D1209" s="759"/>
      <c r="E1209" s="760"/>
      <c r="F1209" s="796"/>
      <c r="G1209" s="797"/>
      <c r="H1209" s="797"/>
      <c r="I1209" s="797"/>
      <c r="J1209" s="797"/>
      <c r="K1209" s="797"/>
      <c r="L1209" s="797"/>
      <c r="M1209" s="797"/>
      <c r="N1209" s="797"/>
      <c r="O1209" s="797"/>
      <c r="P1209" s="797"/>
      <c r="Q1209" s="797"/>
      <c r="R1209" s="797"/>
      <c r="S1209" s="797"/>
      <c r="T1209" s="797"/>
      <c r="U1209" s="797"/>
      <c r="V1209" s="797"/>
      <c r="W1209" s="797"/>
      <c r="X1209" s="797"/>
      <c r="Y1209" s="797"/>
      <c r="Z1209" s="797"/>
      <c r="AA1209" s="797"/>
      <c r="AB1209" s="798"/>
      <c r="AC1209" s="799"/>
      <c r="AD1209" s="800"/>
      <c r="AE1209" s="800"/>
      <c r="AF1209" s="801"/>
      <c r="AG1209" s="466"/>
      <c r="AH1209" s="467"/>
      <c r="AI1209" s="467"/>
      <c r="AJ1209" s="468"/>
      <c r="AK1209" s="737"/>
      <c r="AL1209" s="738"/>
      <c r="AM1209" s="738"/>
      <c r="AN1209" s="739"/>
      <c r="AO1209" s="740"/>
      <c r="AP1209" s="741"/>
      <c r="AQ1209" s="741"/>
      <c r="AR1209" s="742"/>
    </row>
    <row r="1210" spans="3:44" ht="18" customHeight="1">
      <c r="C1210" s="758"/>
      <c r="D1210" s="759"/>
      <c r="E1210" s="760"/>
      <c r="F1210" s="796"/>
      <c r="G1210" s="797"/>
      <c r="H1210" s="797"/>
      <c r="I1210" s="797"/>
      <c r="J1210" s="797"/>
      <c r="K1210" s="797"/>
      <c r="L1210" s="797"/>
      <c r="M1210" s="797"/>
      <c r="N1210" s="797"/>
      <c r="O1210" s="797"/>
      <c r="P1210" s="797"/>
      <c r="Q1210" s="797"/>
      <c r="R1210" s="797"/>
      <c r="S1210" s="797"/>
      <c r="T1210" s="797"/>
      <c r="U1210" s="797"/>
      <c r="V1210" s="797"/>
      <c r="W1210" s="797"/>
      <c r="X1210" s="797"/>
      <c r="Y1210" s="797"/>
      <c r="Z1210" s="797"/>
      <c r="AA1210" s="797"/>
      <c r="AB1210" s="798"/>
      <c r="AC1210" s="799"/>
      <c r="AD1210" s="800"/>
      <c r="AE1210" s="800"/>
      <c r="AF1210" s="801"/>
      <c r="AG1210" s="466"/>
      <c r="AH1210" s="467"/>
      <c r="AI1210" s="467"/>
      <c r="AJ1210" s="468"/>
      <c r="AK1210" s="737"/>
      <c r="AL1210" s="738"/>
      <c r="AM1210" s="738"/>
      <c r="AN1210" s="739"/>
      <c r="AO1210" s="740"/>
      <c r="AP1210" s="741"/>
      <c r="AQ1210" s="741"/>
      <c r="AR1210" s="742"/>
    </row>
    <row r="1211" spans="3:44" ht="18" customHeight="1">
      <c r="C1211" s="758"/>
      <c r="D1211" s="759"/>
      <c r="E1211" s="760"/>
      <c r="F1211" s="796"/>
      <c r="G1211" s="797"/>
      <c r="H1211" s="797"/>
      <c r="I1211" s="797"/>
      <c r="J1211" s="797"/>
      <c r="K1211" s="797"/>
      <c r="L1211" s="797"/>
      <c r="M1211" s="797"/>
      <c r="N1211" s="797"/>
      <c r="O1211" s="797"/>
      <c r="P1211" s="797"/>
      <c r="Q1211" s="797"/>
      <c r="R1211" s="797"/>
      <c r="S1211" s="797"/>
      <c r="T1211" s="797"/>
      <c r="U1211" s="797"/>
      <c r="V1211" s="797"/>
      <c r="W1211" s="797"/>
      <c r="X1211" s="797"/>
      <c r="Y1211" s="797"/>
      <c r="Z1211" s="797"/>
      <c r="AA1211" s="797"/>
      <c r="AB1211" s="798"/>
      <c r="AC1211" s="799"/>
      <c r="AD1211" s="800"/>
      <c r="AE1211" s="800"/>
      <c r="AF1211" s="801"/>
      <c r="AG1211" s="466"/>
      <c r="AH1211" s="467"/>
      <c r="AI1211" s="467"/>
      <c r="AJ1211" s="468"/>
      <c r="AK1211" s="737"/>
      <c r="AL1211" s="738"/>
      <c r="AM1211" s="738"/>
      <c r="AN1211" s="739"/>
      <c r="AO1211" s="740"/>
      <c r="AP1211" s="741"/>
      <c r="AQ1211" s="741"/>
      <c r="AR1211" s="742"/>
    </row>
    <row r="1212" spans="3:44" ht="18" customHeight="1">
      <c r="C1212" s="758"/>
      <c r="D1212" s="759"/>
      <c r="E1212" s="760"/>
      <c r="F1212" s="796"/>
      <c r="G1212" s="797"/>
      <c r="H1212" s="797"/>
      <c r="I1212" s="797"/>
      <c r="J1212" s="797"/>
      <c r="K1212" s="797"/>
      <c r="L1212" s="797"/>
      <c r="M1212" s="797"/>
      <c r="N1212" s="797"/>
      <c r="O1212" s="797"/>
      <c r="P1212" s="797"/>
      <c r="Q1212" s="797"/>
      <c r="R1212" s="797"/>
      <c r="S1212" s="797"/>
      <c r="T1212" s="797"/>
      <c r="U1212" s="797"/>
      <c r="V1212" s="797"/>
      <c r="W1212" s="797"/>
      <c r="X1212" s="797"/>
      <c r="Y1212" s="797"/>
      <c r="Z1212" s="797"/>
      <c r="AA1212" s="797"/>
      <c r="AB1212" s="798"/>
      <c r="AC1212" s="799"/>
      <c r="AD1212" s="800"/>
      <c r="AE1212" s="800"/>
      <c r="AF1212" s="801"/>
      <c r="AG1212" s="466"/>
      <c r="AH1212" s="467"/>
      <c r="AI1212" s="467"/>
      <c r="AJ1212" s="468"/>
      <c r="AK1212" s="737"/>
      <c r="AL1212" s="738"/>
      <c r="AM1212" s="738"/>
      <c r="AN1212" s="739"/>
      <c r="AO1212" s="740"/>
      <c r="AP1212" s="741"/>
      <c r="AQ1212" s="741"/>
      <c r="AR1212" s="742"/>
    </row>
    <row r="1213" spans="3:44" ht="18" customHeight="1">
      <c r="C1213" s="743"/>
      <c r="D1213" s="744"/>
      <c r="E1213" s="744"/>
      <c r="F1213" s="744"/>
      <c r="G1213" s="744"/>
      <c r="H1213" s="744"/>
      <c r="I1213" s="744"/>
      <c r="J1213" s="744"/>
      <c r="K1213" s="744"/>
      <c r="L1213" s="744"/>
      <c r="M1213" s="744"/>
      <c r="N1213" s="744"/>
      <c r="O1213" s="744"/>
      <c r="P1213" s="744"/>
      <c r="Q1213" s="744"/>
      <c r="R1213" s="744"/>
      <c r="S1213" s="744"/>
      <c r="T1213" s="744"/>
      <c r="U1213" s="744"/>
      <c r="V1213" s="744"/>
      <c r="W1213" s="744"/>
      <c r="X1213" s="744"/>
      <c r="Y1213" s="745" t="s">
        <v>88</v>
      </c>
      <c r="Z1213" s="745"/>
      <c r="AA1213" s="745"/>
      <c r="AB1213" s="745"/>
      <c r="AC1213" s="745"/>
      <c r="AD1213" s="745"/>
      <c r="AE1213" s="745"/>
      <c r="AF1213" s="745"/>
      <c r="AG1213" s="745"/>
      <c r="AH1213" s="745"/>
      <c r="AI1213" s="745"/>
      <c r="AJ1213" s="745"/>
      <c r="AK1213" s="745"/>
      <c r="AL1213" s="745"/>
      <c r="AM1213" s="745"/>
      <c r="AN1213" s="430"/>
      <c r="AO1213" s="477">
        <f>SUM(AO1205:AR1212)</f>
        <v>1294.5999999999999</v>
      </c>
      <c r="AP1213" s="746"/>
      <c r="AQ1213" s="746"/>
      <c r="AR1213" s="747"/>
    </row>
    <row r="1215" spans="3:44" ht="18" customHeight="1">
      <c r="C1215" s="794" t="s">
        <v>43</v>
      </c>
      <c r="D1215" s="774"/>
      <c r="E1215" s="775"/>
      <c r="F1215" s="773" t="s">
        <v>89</v>
      </c>
      <c r="G1215" s="774"/>
      <c r="H1215" s="774"/>
      <c r="I1215" s="774"/>
      <c r="J1215" s="774"/>
      <c r="K1215" s="774"/>
      <c r="L1215" s="774"/>
      <c r="M1215" s="774"/>
      <c r="N1215" s="774"/>
      <c r="O1215" s="774"/>
      <c r="P1215" s="774"/>
      <c r="Q1215" s="774"/>
      <c r="R1215" s="775"/>
      <c r="S1215" s="773" t="s">
        <v>90</v>
      </c>
      <c r="T1215" s="774"/>
      <c r="U1215" s="775"/>
      <c r="V1215" s="773" t="s">
        <v>91</v>
      </c>
      <c r="W1215" s="774"/>
      <c r="X1215" s="775"/>
      <c r="Y1215" s="773" t="s">
        <v>92</v>
      </c>
      <c r="Z1215" s="774"/>
      <c r="AA1215" s="774"/>
      <c r="AB1215" s="774"/>
      <c r="AC1215" s="774"/>
      <c r="AD1215" s="775"/>
      <c r="AE1215" s="773" t="s">
        <v>93</v>
      </c>
      <c r="AF1215" s="774"/>
      <c r="AG1215" s="775"/>
      <c r="AH1215" s="773" t="s">
        <v>94</v>
      </c>
      <c r="AI1215" s="774"/>
      <c r="AJ1215" s="775"/>
      <c r="AK1215" s="773" t="s">
        <v>86</v>
      </c>
      <c r="AL1215" s="774"/>
      <c r="AM1215" s="774"/>
      <c r="AN1215" s="775"/>
      <c r="AO1215" s="773" t="s">
        <v>87</v>
      </c>
      <c r="AP1215" s="774"/>
      <c r="AQ1215" s="774"/>
      <c r="AR1215" s="779"/>
    </row>
    <row r="1216" spans="3:44" ht="18" customHeight="1">
      <c r="C1216" s="795"/>
      <c r="D1216" s="777"/>
      <c r="E1216" s="778"/>
      <c r="F1216" s="776"/>
      <c r="G1216" s="777"/>
      <c r="H1216" s="777"/>
      <c r="I1216" s="777"/>
      <c r="J1216" s="777"/>
      <c r="K1216" s="777"/>
      <c r="L1216" s="777"/>
      <c r="M1216" s="777"/>
      <c r="N1216" s="777"/>
      <c r="O1216" s="777"/>
      <c r="P1216" s="777"/>
      <c r="Q1216" s="777"/>
      <c r="R1216" s="778"/>
      <c r="S1216" s="776"/>
      <c r="T1216" s="777"/>
      <c r="U1216" s="778"/>
      <c r="V1216" s="776"/>
      <c r="W1216" s="777"/>
      <c r="X1216" s="778"/>
      <c r="Y1216" s="776"/>
      <c r="Z1216" s="777"/>
      <c r="AA1216" s="777"/>
      <c r="AB1216" s="777"/>
      <c r="AC1216" s="777"/>
      <c r="AD1216" s="778"/>
      <c r="AE1216" s="776"/>
      <c r="AF1216" s="777"/>
      <c r="AG1216" s="778"/>
      <c r="AH1216" s="776"/>
      <c r="AI1216" s="777"/>
      <c r="AJ1216" s="778"/>
      <c r="AK1216" s="776"/>
      <c r="AL1216" s="777"/>
      <c r="AM1216" s="777"/>
      <c r="AN1216" s="778"/>
      <c r="AO1216" s="776"/>
      <c r="AP1216" s="777"/>
      <c r="AQ1216" s="777"/>
      <c r="AR1216" s="780"/>
    </row>
    <row r="1217" spans="1:44" ht="18" customHeight="1">
      <c r="C1217" s="781"/>
      <c r="D1217" s="782"/>
      <c r="E1217" s="783"/>
      <c r="F1217" s="457"/>
      <c r="G1217" s="457"/>
      <c r="H1217" s="457"/>
      <c r="I1217" s="457"/>
      <c r="J1217" s="457"/>
      <c r="K1217" s="457"/>
      <c r="L1217" s="457"/>
      <c r="M1217" s="457"/>
      <c r="N1217" s="457"/>
      <c r="O1217" s="457"/>
      <c r="P1217" s="457"/>
      <c r="Q1217" s="457"/>
      <c r="R1217" s="457"/>
      <c r="S1217" s="784"/>
      <c r="T1217" s="785"/>
      <c r="U1217" s="786"/>
      <c r="V1217" s="784"/>
      <c r="W1217" s="785"/>
      <c r="X1217" s="786"/>
      <c r="Y1217" s="787"/>
      <c r="Z1217" s="788"/>
      <c r="AA1217" s="788"/>
      <c r="AB1217" s="788"/>
      <c r="AC1217" s="788"/>
      <c r="AD1217" s="789"/>
      <c r="AE1217" s="449"/>
      <c r="AF1217" s="449"/>
      <c r="AG1217" s="449"/>
      <c r="AH1217" s="770"/>
      <c r="AI1217" s="771"/>
      <c r="AJ1217" s="790"/>
      <c r="AK1217" s="791"/>
      <c r="AL1217" s="792"/>
      <c r="AM1217" s="792"/>
      <c r="AN1217" s="793"/>
      <c r="AO1217" s="770"/>
      <c r="AP1217" s="771"/>
      <c r="AQ1217" s="771"/>
      <c r="AR1217" s="772"/>
    </row>
    <row r="1218" spans="1:44" ht="18" customHeight="1">
      <c r="C1218" s="758"/>
      <c r="D1218" s="759"/>
      <c r="E1218" s="760"/>
      <c r="F1218" s="761"/>
      <c r="G1218" s="762"/>
      <c r="H1218" s="762"/>
      <c r="I1218" s="762"/>
      <c r="J1218" s="762"/>
      <c r="K1218" s="762"/>
      <c r="L1218" s="762"/>
      <c r="M1218" s="762"/>
      <c r="N1218" s="762"/>
      <c r="O1218" s="762"/>
      <c r="P1218" s="762"/>
      <c r="Q1218" s="762"/>
      <c r="R1218" s="763"/>
      <c r="S1218" s="764"/>
      <c r="T1218" s="765"/>
      <c r="U1218" s="766"/>
      <c r="V1218" s="764"/>
      <c r="W1218" s="765"/>
      <c r="X1218" s="766"/>
      <c r="Y1218" s="767"/>
      <c r="Z1218" s="768"/>
      <c r="AA1218" s="768"/>
      <c r="AB1218" s="768"/>
      <c r="AC1218" s="768"/>
      <c r="AD1218" s="769"/>
      <c r="AE1218" s="740"/>
      <c r="AF1218" s="741"/>
      <c r="AG1218" s="757"/>
      <c r="AH1218" s="740"/>
      <c r="AI1218" s="741"/>
      <c r="AJ1218" s="757"/>
      <c r="AK1218" s="737"/>
      <c r="AL1218" s="738"/>
      <c r="AM1218" s="738"/>
      <c r="AN1218" s="739"/>
      <c r="AO1218" s="740">
        <f t="shared" ref="AO1218:AO1224" si="17">ROUND(AE1218*AH1218*AK1218,2)</f>
        <v>0</v>
      </c>
      <c r="AP1218" s="741"/>
      <c r="AQ1218" s="741"/>
      <c r="AR1218" s="742"/>
    </row>
    <row r="1219" spans="1:44" ht="18" customHeight="1">
      <c r="C1219" s="758"/>
      <c r="D1219" s="759"/>
      <c r="E1219" s="760"/>
      <c r="F1219" s="761"/>
      <c r="G1219" s="762"/>
      <c r="H1219" s="762"/>
      <c r="I1219" s="762"/>
      <c r="J1219" s="762"/>
      <c r="K1219" s="762"/>
      <c r="L1219" s="762"/>
      <c r="M1219" s="762"/>
      <c r="N1219" s="762"/>
      <c r="O1219" s="762"/>
      <c r="P1219" s="762"/>
      <c r="Q1219" s="762"/>
      <c r="R1219" s="763"/>
      <c r="S1219" s="764"/>
      <c r="T1219" s="765"/>
      <c r="U1219" s="766"/>
      <c r="V1219" s="764"/>
      <c r="W1219" s="765"/>
      <c r="X1219" s="766"/>
      <c r="Y1219" s="767"/>
      <c r="Z1219" s="768"/>
      <c r="AA1219" s="768"/>
      <c r="AB1219" s="768"/>
      <c r="AC1219" s="768"/>
      <c r="AD1219" s="769"/>
      <c r="AE1219" s="740"/>
      <c r="AF1219" s="741"/>
      <c r="AG1219" s="757"/>
      <c r="AH1219" s="740"/>
      <c r="AI1219" s="741"/>
      <c r="AJ1219" s="757"/>
      <c r="AK1219" s="737"/>
      <c r="AL1219" s="738"/>
      <c r="AM1219" s="738"/>
      <c r="AN1219" s="739"/>
      <c r="AO1219" s="740">
        <f t="shared" si="17"/>
        <v>0</v>
      </c>
      <c r="AP1219" s="741"/>
      <c r="AQ1219" s="741"/>
      <c r="AR1219" s="742"/>
    </row>
    <row r="1220" spans="1:44" ht="18" customHeight="1">
      <c r="C1220" s="758"/>
      <c r="D1220" s="759"/>
      <c r="E1220" s="760"/>
      <c r="F1220" s="761"/>
      <c r="G1220" s="762"/>
      <c r="H1220" s="762"/>
      <c r="I1220" s="762"/>
      <c r="J1220" s="762"/>
      <c r="K1220" s="762"/>
      <c r="L1220" s="762"/>
      <c r="M1220" s="762"/>
      <c r="N1220" s="762"/>
      <c r="O1220" s="762"/>
      <c r="P1220" s="762"/>
      <c r="Q1220" s="762"/>
      <c r="R1220" s="763"/>
      <c r="S1220" s="764"/>
      <c r="T1220" s="765"/>
      <c r="U1220" s="766"/>
      <c r="V1220" s="764"/>
      <c r="W1220" s="765"/>
      <c r="X1220" s="766"/>
      <c r="Y1220" s="767"/>
      <c r="Z1220" s="768"/>
      <c r="AA1220" s="768"/>
      <c r="AB1220" s="768"/>
      <c r="AC1220" s="768"/>
      <c r="AD1220" s="769"/>
      <c r="AE1220" s="740"/>
      <c r="AF1220" s="741"/>
      <c r="AG1220" s="757"/>
      <c r="AH1220" s="740"/>
      <c r="AI1220" s="741"/>
      <c r="AJ1220" s="757"/>
      <c r="AK1220" s="737"/>
      <c r="AL1220" s="738"/>
      <c r="AM1220" s="738"/>
      <c r="AN1220" s="739"/>
      <c r="AO1220" s="740">
        <f t="shared" si="17"/>
        <v>0</v>
      </c>
      <c r="AP1220" s="741"/>
      <c r="AQ1220" s="741"/>
      <c r="AR1220" s="742"/>
    </row>
    <row r="1221" spans="1:44" ht="18" customHeight="1">
      <c r="C1221" s="758"/>
      <c r="D1221" s="759"/>
      <c r="E1221" s="760"/>
      <c r="F1221" s="761"/>
      <c r="G1221" s="762"/>
      <c r="H1221" s="762"/>
      <c r="I1221" s="762"/>
      <c r="J1221" s="762"/>
      <c r="K1221" s="762"/>
      <c r="L1221" s="762"/>
      <c r="M1221" s="762"/>
      <c r="N1221" s="762"/>
      <c r="O1221" s="762"/>
      <c r="P1221" s="762"/>
      <c r="Q1221" s="762"/>
      <c r="R1221" s="763"/>
      <c r="S1221" s="764"/>
      <c r="T1221" s="765"/>
      <c r="U1221" s="766"/>
      <c r="V1221" s="764"/>
      <c r="W1221" s="765"/>
      <c r="X1221" s="766"/>
      <c r="Y1221" s="767"/>
      <c r="Z1221" s="768"/>
      <c r="AA1221" s="768"/>
      <c r="AB1221" s="768"/>
      <c r="AC1221" s="768"/>
      <c r="AD1221" s="769"/>
      <c r="AE1221" s="740"/>
      <c r="AF1221" s="741"/>
      <c r="AG1221" s="757"/>
      <c r="AH1221" s="740"/>
      <c r="AI1221" s="741"/>
      <c r="AJ1221" s="757"/>
      <c r="AK1221" s="737"/>
      <c r="AL1221" s="738"/>
      <c r="AM1221" s="738"/>
      <c r="AN1221" s="739"/>
      <c r="AO1221" s="740">
        <f t="shared" si="17"/>
        <v>0</v>
      </c>
      <c r="AP1221" s="741"/>
      <c r="AQ1221" s="741"/>
      <c r="AR1221" s="742"/>
    </row>
    <row r="1222" spans="1:44" ht="18" customHeight="1">
      <c r="C1222" s="758"/>
      <c r="D1222" s="759"/>
      <c r="E1222" s="760"/>
      <c r="F1222" s="761"/>
      <c r="G1222" s="762"/>
      <c r="H1222" s="762"/>
      <c r="I1222" s="762"/>
      <c r="J1222" s="762"/>
      <c r="K1222" s="762"/>
      <c r="L1222" s="762"/>
      <c r="M1222" s="762"/>
      <c r="N1222" s="762"/>
      <c r="O1222" s="762"/>
      <c r="P1222" s="762"/>
      <c r="Q1222" s="762"/>
      <c r="R1222" s="763"/>
      <c r="S1222" s="764"/>
      <c r="T1222" s="765"/>
      <c r="U1222" s="766"/>
      <c r="V1222" s="764"/>
      <c r="W1222" s="765"/>
      <c r="X1222" s="766"/>
      <c r="Y1222" s="767"/>
      <c r="Z1222" s="768"/>
      <c r="AA1222" s="768"/>
      <c r="AB1222" s="768"/>
      <c r="AC1222" s="768"/>
      <c r="AD1222" s="769"/>
      <c r="AE1222" s="740"/>
      <c r="AF1222" s="741"/>
      <c r="AG1222" s="757"/>
      <c r="AH1222" s="740"/>
      <c r="AI1222" s="741"/>
      <c r="AJ1222" s="757"/>
      <c r="AK1222" s="737"/>
      <c r="AL1222" s="738"/>
      <c r="AM1222" s="738"/>
      <c r="AN1222" s="739"/>
      <c r="AO1222" s="740">
        <f t="shared" si="17"/>
        <v>0</v>
      </c>
      <c r="AP1222" s="741"/>
      <c r="AQ1222" s="741"/>
      <c r="AR1222" s="742"/>
    </row>
    <row r="1223" spans="1:44" ht="18" customHeight="1">
      <c r="C1223" s="758"/>
      <c r="D1223" s="759"/>
      <c r="E1223" s="760"/>
      <c r="F1223" s="761"/>
      <c r="G1223" s="762"/>
      <c r="H1223" s="762"/>
      <c r="I1223" s="762"/>
      <c r="J1223" s="762"/>
      <c r="K1223" s="762"/>
      <c r="L1223" s="762"/>
      <c r="M1223" s="762"/>
      <c r="N1223" s="762"/>
      <c r="O1223" s="762"/>
      <c r="P1223" s="762"/>
      <c r="Q1223" s="762"/>
      <c r="R1223" s="763"/>
      <c r="S1223" s="764"/>
      <c r="T1223" s="765"/>
      <c r="U1223" s="766"/>
      <c r="V1223" s="764"/>
      <c r="W1223" s="765"/>
      <c r="X1223" s="766"/>
      <c r="Y1223" s="767"/>
      <c r="Z1223" s="768"/>
      <c r="AA1223" s="768"/>
      <c r="AB1223" s="768"/>
      <c r="AC1223" s="768"/>
      <c r="AD1223" s="769"/>
      <c r="AE1223" s="740"/>
      <c r="AF1223" s="741"/>
      <c r="AG1223" s="757"/>
      <c r="AH1223" s="740"/>
      <c r="AI1223" s="741"/>
      <c r="AJ1223" s="757"/>
      <c r="AK1223" s="737"/>
      <c r="AL1223" s="738"/>
      <c r="AM1223" s="738"/>
      <c r="AN1223" s="739"/>
      <c r="AO1223" s="740">
        <f t="shared" si="17"/>
        <v>0</v>
      </c>
      <c r="AP1223" s="741"/>
      <c r="AQ1223" s="741"/>
      <c r="AR1223" s="742"/>
    </row>
    <row r="1224" spans="1:44" ht="18" customHeight="1">
      <c r="C1224" s="758"/>
      <c r="D1224" s="759"/>
      <c r="E1224" s="760"/>
      <c r="F1224" s="761"/>
      <c r="G1224" s="762"/>
      <c r="H1224" s="762"/>
      <c r="I1224" s="762"/>
      <c r="J1224" s="762"/>
      <c r="K1224" s="762"/>
      <c r="L1224" s="762"/>
      <c r="M1224" s="762"/>
      <c r="N1224" s="762"/>
      <c r="O1224" s="762"/>
      <c r="P1224" s="762"/>
      <c r="Q1224" s="762"/>
      <c r="R1224" s="763"/>
      <c r="S1224" s="764"/>
      <c r="T1224" s="765"/>
      <c r="U1224" s="766"/>
      <c r="V1224" s="764"/>
      <c r="W1224" s="765"/>
      <c r="X1224" s="766"/>
      <c r="Y1224" s="767"/>
      <c r="Z1224" s="768"/>
      <c r="AA1224" s="768"/>
      <c r="AB1224" s="768"/>
      <c r="AC1224" s="768"/>
      <c r="AD1224" s="769"/>
      <c r="AE1224" s="740"/>
      <c r="AF1224" s="741"/>
      <c r="AG1224" s="757"/>
      <c r="AH1224" s="740"/>
      <c r="AI1224" s="741"/>
      <c r="AJ1224" s="757"/>
      <c r="AK1224" s="737"/>
      <c r="AL1224" s="738"/>
      <c r="AM1224" s="738"/>
      <c r="AN1224" s="739"/>
      <c r="AO1224" s="740">
        <f t="shared" si="17"/>
        <v>0</v>
      </c>
      <c r="AP1224" s="741"/>
      <c r="AQ1224" s="741"/>
      <c r="AR1224" s="742"/>
    </row>
    <row r="1225" spans="1:44" ht="18" customHeight="1">
      <c r="C1225" s="743"/>
      <c r="D1225" s="744"/>
      <c r="E1225" s="744"/>
      <c r="F1225" s="744"/>
      <c r="G1225" s="744"/>
      <c r="H1225" s="744"/>
      <c r="I1225" s="744"/>
      <c r="J1225" s="744"/>
      <c r="K1225" s="744"/>
      <c r="L1225" s="744"/>
      <c r="M1225" s="744"/>
      <c r="N1225" s="744"/>
      <c r="O1225" s="744"/>
      <c r="P1225" s="744"/>
      <c r="Q1225" s="744"/>
      <c r="R1225" s="744"/>
      <c r="S1225" s="744"/>
      <c r="T1225" s="744"/>
      <c r="U1225" s="744"/>
      <c r="V1225" s="744"/>
      <c r="W1225" s="744"/>
      <c r="X1225" s="744"/>
      <c r="Y1225" s="745" t="s">
        <v>95</v>
      </c>
      <c r="Z1225" s="745"/>
      <c r="AA1225" s="745"/>
      <c r="AB1225" s="745"/>
      <c r="AC1225" s="745"/>
      <c r="AD1225" s="745"/>
      <c r="AE1225" s="745"/>
      <c r="AF1225" s="745"/>
      <c r="AG1225" s="745"/>
      <c r="AH1225" s="745"/>
      <c r="AI1225" s="745"/>
      <c r="AJ1225" s="745"/>
      <c r="AK1225" s="745"/>
      <c r="AL1225" s="745"/>
      <c r="AM1225" s="745"/>
      <c r="AN1225" s="430"/>
      <c r="AO1225" s="477">
        <f>SUM(AO1217:AR1224)</f>
        <v>0</v>
      </c>
      <c r="AP1225" s="746"/>
      <c r="AQ1225" s="746"/>
      <c r="AR1225" s="747"/>
    </row>
    <row r="1227" spans="1:44" ht="18" customHeight="1">
      <c r="C1227" s="434"/>
      <c r="D1227" s="434"/>
      <c r="E1227" s="434"/>
      <c r="F1227" s="434"/>
      <c r="G1227" s="434"/>
      <c r="H1227" s="434"/>
      <c r="I1227" s="434"/>
      <c r="J1227" s="434"/>
      <c r="K1227" s="434"/>
      <c r="L1227" s="434"/>
      <c r="M1227" s="434"/>
      <c r="N1227" s="434"/>
      <c r="O1227" s="434"/>
      <c r="P1227" s="434"/>
      <c r="Q1227" s="434"/>
      <c r="R1227" s="434"/>
      <c r="S1227" s="434"/>
      <c r="T1227" s="434"/>
      <c r="U1227" s="434"/>
      <c r="V1227" s="434"/>
      <c r="W1227" s="434"/>
      <c r="X1227" s="748"/>
      <c r="Y1227" s="749" t="s">
        <v>96</v>
      </c>
      <c r="Z1227" s="750"/>
      <c r="AA1227" s="750"/>
      <c r="AB1227" s="750"/>
      <c r="AC1227" s="750"/>
      <c r="AD1227" s="750"/>
      <c r="AE1227" s="750"/>
      <c r="AF1227" s="750"/>
      <c r="AG1227" s="750"/>
      <c r="AH1227" s="750"/>
      <c r="AI1227" s="750"/>
      <c r="AJ1227" s="750"/>
      <c r="AK1227" s="750"/>
      <c r="AL1227" s="750"/>
      <c r="AM1227" s="750"/>
      <c r="AN1227" s="751"/>
      <c r="AO1227" s="752">
        <f>AO1201+AO1213+AO1225</f>
        <v>1427.4099999999999</v>
      </c>
      <c r="AP1227" s="753"/>
      <c r="AQ1227" s="753"/>
      <c r="AR1227" s="754"/>
    </row>
    <row r="1228" spans="1:44" ht="18" customHeight="1">
      <c r="C1228" s="434"/>
      <c r="D1228" s="434"/>
      <c r="E1228" s="434"/>
      <c r="F1228" s="434"/>
      <c r="G1228" s="434"/>
      <c r="H1228" s="434"/>
      <c r="I1228" s="434"/>
      <c r="J1228" s="434"/>
      <c r="K1228" s="434"/>
      <c r="L1228" s="434"/>
      <c r="M1228" s="434"/>
      <c r="N1228" s="434"/>
      <c r="O1228" s="434"/>
      <c r="P1228" s="434"/>
      <c r="Q1228" s="434"/>
      <c r="R1228" s="434"/>
      <c r="S1228" s="434"/>
      <c r="T1228" s="434"/>
      <c r="U1228" s="434"/>
      <c r="V1228" s="434"/>
      <c r="W1228" s="434"/>
      <c r="X1228" s="748"/>
      <c r="Y1228" s="755" t="s">
        <v>97</v>
      </c>
      <c r="Z1228" s="756"/>
      <c r="AA1228" s="756"/>
      <c r="AB1228" s="756"/>
      <c r="AC1228" s="756"/>
      <c r="AD1228" s="756"/>
      <c r="AE1228" s="756"/>
      <c r="AF1228" s="756"/>
      <c r="AG1228" s="756"/>
      <c r="AH1228" s="442">
        <v>0.2031</v>
      </c>
      <c r="AI1228" s="442"/>
      <c r="AJ1228" s="442"/>
      <c r="AK1228" s="442"/>
      <c r="AL1228" s="442"/>
      <c r="AM1228" s="442"/>
      <c r="AN1228" s="443"/>
      <c r="AO1228" s="728">
        <f>ROUND(AO1227*AH1228,2)</f>
        <v>289.91000000000003</v>
      </c>
      <c r="AP1228" s="729"/>
      <c r="AQ1228" s="729"/>
      <c r="AR1228" s="730"/>
    </row>
    <row r="1229" spans="1:44" ht="18" customHeight="1">
      <c r="A1229" s="415" t="s">
        <v>1577</v>
      </c>
      <c r="B1229" s="415"/>
      <c r="C1229" s="434"/>
      <c r="D1229" s="434"/>
      <c r="E1229" s="434"/>
      <c r="F1229" s="434"/>
      <c r="G1229" s="434"/>
      <c r="H1229" s="434"/>
      <c r="I1229" s="434"/>
      <c r="J1229" s="434"/>
      <c r="K1229" s="434"/>
      <c r="L1229" s="434"/>
      <c r="M1229" s="434"/>
      <c r="N1229" s="434"/>
      <c r="O1229" s="434"/>
      <c r="P1229" s="434"/>
      <c r="Q1229" s="434"/>
      <c r="R1229" s="434"/>
      <c r="S1229" s="434"/>
      <c r="T1229" s="434"/>
      <c r="U1229" s="434"/>
      <c r="V1229" s="434"/>
      <c r="W1229" s="434"/>
      <c r="X1229" s="748"/>
      <c r="Y1229" s="731" t="s">
        <v>98</v>
      </c>
      <c r="Z1229" s="732"/>
      <c r="AA1229" s="732"/>
      <c r="AB1229" s="732"/>
      <c r="AC1229" s="732"/>
      <c r="AD1229" s="732"/>
      <c r="AE1229" s="732"/>
      <c r="AF1229" s="732"/>
      <c r="AG1229" s="732"/>
      <c r="AH1229" s="732"/>
      <c r="AI1229" s="732"/>
      <c r="AJ1229" s="732"/>
      <c r="AK1229" s="732"/>
      <c r="AL1229" s="732"/>
      <c r="AM1229" s="732"/>
      <c r="AN1229" s="733"/>
      <c r="AO1229" s="734">
        <f>SUM(AO1227:AR1228)</f>
        <v>1717.32</v>
      </c>
      <c r="AP1229" s="735"/>
      <c r="AQ1229" s="735"/>
      <c r="AR1229" s="736"/>
    </row>
    <row r="1231" spans="1:44" ht="18" customHeight="1">
      <c r="C1231" s="420" t="s">
        <v>99</v>
      </c>
      <c r="D1231" s="421"/>
      <c r="E1231" s="421"/>
      <c r="F1231" s="421"/>
      <c r="G1231" s="421"/>
      <c r="H1231" s="421"/>
      <c r="I1231" s="422"/>
      <c r="J1231" s="422"/>
      <c r="K1231" s="422"/>
      <c r="L1231" s="422"/>
      <c r="M1231" s="422"/>
      <c r="N1231" s="422"/>
      <c r="O1231" s="422"/>
      <c r="P1231" s="422"/>
      <c r="Q1231" s="422"/>
      <c r="R1231" s="422"/>
      <c r="S1231" s="422"/>
      <c r="T1231" s="422"/>
      <c r="U1231" s="422"/>
      <c r="V1231" s="422"/>
      <c r="W1231" s="422"/>
      <c r="X1231" s="422"/>
      <c r="Y1231" s="422"/>
      <c r="Z1231" s="422"/>
      <c r="AA1231" s="422"/>
      <c r="AB1231" s="422"/>
      <c r="AC1231" s="422"/>
      <c r="AD1231" s="422"/>
      <c r="AE1231" s="422"/>
      <c r="AF1231" s="422"/>
      <c r="AG1231" s="422"/>
      <c r="AH1231" s="422"/>
      <c r="AI1231" s="422"/>
      <c r="AJ1231" s="422"/>
      <c r="AK1231" s="422"/>
      <c r="AL1231" s="422"/>
      <c r="AM1231" s="422"/>
      <c r="AN1231" s="422"/>
      <c r="AO1231" s="422"/>
      <c r="AP1231" s="422"/>
      <c r="AQ1231" s="422"/>
      <c r="AR1231" s="423"/>
    </row>
    <row r="1232" spans="1:44" ht="18" customHeight="1">
      <c r="C1232" s="411"/>
      <c r="D1232" s="412"/>
      <c r="E1232" s="412"/>
      <c r="F1232" s="412"/>
      <c r="G1232" s="412"/>
      <c r="H1232" s="412"/>
      <c r="I1232" s="409"/>
      <c r="J1232" s="409"/>
      <c r="K1232" s="409"/>
      <c r="L1232" s="409"/>
      <c r="M1232" s="409"/>
      <c r="N1232" s="409"/>
      <c r="O1232" s="409"/>
      <c r="P1232" s="409"/>
      <c r="Q1232" s="409"/>
      <c r="R1232" s="409"/>
      <c r="S1232" s="409"/>
      <c r="T1232" s="409"/>
      <c r="U1232" s="409"/>
      <c r="V1232" s="409"/>
      <c r="W1232" s="409"/>
      <c r="X1232" s="409"/>
      <c r="Y1232" s="409"/>
      <c r="Z1232" s="409"/>
      <c r="AA1232" s="409"/>
      <c r="AB1232" s="409"/>
      <c r="AC1232" s="409"/>
      <c r="AD1232" s="409"/>
      <c r="AE1232" s="409"/>
      <c r="AF1232" s="409"/>
      <c r="AG1232" s="409"/>
      <c r="AH1232" s="409"/>
      <c r="AI1232" s="409"/>
      <c r="AJ1232" s="409"/>
      <c r="AK1232" s="409"/>
      <c r="AL1232" s="409"/>
      <c r="AM1232" s="409"/>
      <c r="AN1232" s="409"/>
      <c r="AO1232" s="409"/>
      <c r="AP1232" s="409"/>
      <c r="AQ1232" s="409"/>
      <c r="AR1232" s="410"/>
    </row>
    <row r="1233" spans="3:44" ht="18" customHeight="1">
      <c r="C1233" s="411"/>
      <c r="D1233" s="412"/>
      <c r="E1233" s="412"/>
      <c r="F1233" s="412"/>
      <c r="G1233" s="412"/>
      <c r="H1233" s="412"/>
      <c r="I1233" s="409"/>
      <c r="J1233" s="409"/>
      <c r="K1233" s="409"/>
      <c r="L1233" s="409"/>
      <c r="M1233" s="409"/>
      <c r="N1233" s="409"/>
      <c r="O1233" s="409"/>
      <c r="P1233" s="409"/>
      <c r="Q1233" s="409"/>
      <c r="R1233" s="409"/>
      <c r="S1233" s="409"/>
      <c r="T1233" s="409"/>
      <c r="U1233" s="409"/>
      <c r="V1233" s="409"/>
      <c r="W1233" s="409"/>
      <c r="X1233" s="409"/>
      <c r="Y1233" s="409"/>
      <c r="Z1233" s="409"/>
      <c r="AA1233" s="409"/>
      <c r="AB1233" s="409"/>
      <c r="AC1233" s="409"/>
      <c r="AD1233" s="409"/>
      <c r="AE1233" s="409"/>
      <c r="AF1233" s="409"/>
      <c r="AG1233" s="409"/>
      <c r="AH1233" s="409"/>
      <c r="AI1233" s="409"/>
      <c r="AJ1233" s="409"/>
      <c r="AK1233" s="409"/>
      <c r="AL1233" s="409"/>
      <c r="AM1233" s="409"/>
      <c r="AN1233" s="409"/>
      <c r="AO1233" s="409"/>
      <c r="AP1233" s="409"/>
      <c r="AQ1233" s="409"/>
      <c r="AR1233" s="410"/>
    </row>
    <row r="1234" spans="3:44" ht="18" customHeight="1">
      <c r="C1234" s="411"/>
      <c r="D1234" s="412"/>
      <c r="E1234" s="412"/>
      <c r="F1234" s="412"/>
      <c r="G1234" s="412"/>
      <c r="H1234" s="412"/>
      <c r="I1234" s="409"/>
      <c r="J1234" s="409"/>
      <c r="K1234" s="409"/>
      <c r="L1234" s="409"/>
      <c r="M1234" s="409"/>
      <c r="N1234" s="409"/>
      <c r="O1234" s="409"/>
      <c r="P1234" s="409"/>
      <c r="Q1234" s="409"/>
      <c r="R1234" s="409"/>
      <c r="S1234" s="409"/>
      <c r="T1234" s="409"/>
      <c r="U1234" s="409"/>
      <c r="V1234" s="409"/>
      <c r="W1234" s="409"/>
      <c r="X1234" s="409"/>
      <c r="Y1234" s="409"/>
      <c r="Z1234" s="409"/>
      <c r="AA1234" s="409"/>
      <c r="AB1234" s="409"/>
      <c r="AC1234" s="409"/>
      <c r="AD1234" s="409"/>
      <c r="AE1234" s="409"/>
      <c r="AF1234" s="409"/>
      <c r="AG1234" s="409"/>
      <c r="AH1234" s="409"/>
      <c r="AI1234" s="409"/>
      <c r="AJ1234" s="409"/>
      <c r="AK1234" s="409"/>
      <c r="AL1234" s="409"/>
      <c r="AM1234" s="409"/>
      <c r="AN1234" s="409"/>
      <c r="AO1234" s="409"/>
      <c r="AP1234" s="409"/>
      <c r="AQ1234" s="409"/>
      <c r="AR1234" s="410"/>
    </row>
    <row r="1235" spans="3:44" ht="18" customHeight="1">
      <c r="C1235" s="411"/>
      <c r="D1235" s="412"/>
      <c r="E1235" s="412"/>
      <c r="F1235" s="412"/>
      <c r="G1235" s="412"/>
      <c r="H1235" s="412"/>
      <c r="I1235" s="409"/>
      <c r="J1235" s="409"/>
      <c r="K1235" s="409"/>
      <c r="L1235" s="409"/>
      <c r="M1235" s="409"/>
      <c r="N1235" s="409"/>
      <c r="O1235" s="409"/>
      <c r="P1235" s="409"/>
      <c r="Q1235" s="409"/>
      <c r="R1235" s="409"/>
      <c r="S1235" s="409"/>
      <c r="T1235" s="409"/>
      <c r="U1235" s="409"/>
      <c r="V1235" s="409"/>
      <c r="W1235" s="409"/>
      <c r="X1235" s="409"/>
      <c r="Y1235" s="409"/>
      <c r="Z1235" s="409"/>
      <c r="AA1235" s="409"/>
      <c r="AB1235" s="409"/>
      <c r="AC1235" s="409"/>
      <c r="AD1235" s="409"/>
      <c r="AE1235" s="409"/>
      <c r="AF1235" s="409"/>
      <c r="AG1235" s="409"/>
      <c r="AH1235" s="409"/>
      <c r="AI1235" s="409"/>
      <c r="AJ1235" s="409"/>
      <c r="AK1235" s="409"/>
      <c r="AL1235" s="409"/>
      <c r="AM1235" s="409"/>
      <c r="AN1235" s="409"/>
      <c r="AO1235" s="409"/>
      <c r="AP1235" s="409"/>
      <c r="AQ1235" s="409"/>
      <c r="AR1235" s="410"/>
    </row>
    <row r="1236" spans="3:44" ht="18" customHeight="1">
      <c r="C1236" s="385"/>
      <c r="D1236" s="386"/>
      <c r="E1236" s="386"/>
      <c r="F1236" s="386"/>
      <c r="G1236" s="386"/>
      <c r="H1236" s="386"/>
      <c r="I1236" s="387"/>
      <c r="J1236" s="387"/>
      <c r="K1236" s="387"/>
      <c r="L1236" s="387"/>
      <c r="M1236" s="387"/>
      <c r="N1236" s="387"/>
      <c r="O1236" s="387"/>
      <c r="P1236" s="387"/>
      <c r="Q1236" s="387"/>
      <c r="R1236" s="387"/>
      <c r="S1236" s="387"/>
      <c r="T1236" s="387"/>
      <c r="U1236" s="387"/>
      <c r="V1236" s="387"/>
      <c r="W1236" s="387"/>
      <c r="X1236" s="387"/>
      <c r="Y1236" s="387"/>
      <c r="Z1236" s="387"/>
      <c r="AA1236" s="387"/>
      <c r="AB1236" s="387"/>
      <c r="AC1236" s="387"/>
      <c r="AD1236" s="387"/>
      <c r="AE1236" s="387"/>
      <c r="AF1236" s="387"/>
      <c r="AG1236" s="387"/>
      <c r="AH1236" s="387"/>
      <c r="AI1236" s="387"/>
      <c r="AJ1236" s="387"/>
      <c r="AK1236" s="387"/>
      <c r="AL1236" s="387"/>
      <c r="AM1236" s="387"/>
      <c r="AN1236" s="387"/>
      <c r="AO1236" s="387"/>
      <c r="AP1236" s="387"/>
      <c r="AQ1236" s="387"/>
      <c r="AR1236" s="388"/>
    </row>
    <row r="1238" spans="3:44" ht="18" customHeight="1">
      <c r="C1238" s="389" t="s">
        <v>100</v>
      </c>
      <c r="D1238" s="390"/>
      <c r="E1238" s="390"/>
      <c r="F1238" s="390"/>
      <c r="G1238" s="390"/>
      <c r="H1238" s="390"/>
      <c r="I1238" s="390"/>
      <c r="J1238" s="390"/>
      <c r="K1238" s="390"/>
      <c r="L1238" s="390"/>
      <c r="M1238" s="390"/>
      <c r="N1238" s="390"/>
      <c r="O1238" s="390"/>
      <c r="P1238" s="390"/>
      <c r="Q1238" s="390"/>
      <c r="R1238" s="390"/>
      <c r="S1238" s="390"/>
      <c r="T1238" s="390"/>
      <c r="U1238" s="390"/>
      <c r="V1238" s="390"/>
      <c r="W1238" s="390"/>
      <c r="X1238" s="390"/>
      <c r="Y1238" s="390"/>
      <c r="Z1238" s="390"/>
      <c r="AA1238" s="391"/>
      <c r="AB1238" s="392" t="str">
        <f>[5]C.UNIT.SERV.!$E$5</f>
        <v>DATA-BASE:      MAIO/2011/PR</v>
      </c>
      <c r="AC1238" s="393"/>
      <c r="AD1238" s="393"/>
      <c r="AE1238" s="393"/>
      <c r="AF1238" s="393"/>
      <c r="AG1238" s="393"/>
      <c r="AH1238" s="393"/>
      <c r="AI1238" s="394"/>
      <c r="AJ1238" s="392"/>
      <c r="AK1238" s="393"/>
      <c r="AL1238" s="393"/>
      <c r="AM1238" s="393"/>
      <c r="AN1238" s="393"/>
      <c r="AO1238" s="393"/>
      <c r="AP1238" s="393"/>
      <c r="AQ1238" s="393"/>
      <c r="AR1238" s="401"/>
    </row>
    <row r="1239" spans="3:44" ht="18" customHeight="1">
      <c r="C1239" s="404" t="s">
        <v>101</v>
      </c>
      <c r="D1239" s="405"/>
      <c r="E1239" s="405"/>
      <c r="F1239" s="405"/>
      <c r="G1239" s="405" t="s">
        <v>283</v>
      </c>
      <c r="H1239" s="405"/>
      <c r="I1239" s="405"/>
      <c r="J1239" s="405"/>
      <c r="K1239" s="405"/>
      <c r="L1239" s="405"/>
      <c r="M1239" s="405"/>
      <c r="N1239" s="405"/>
      <c r="O1239" s="405"/>
      <c r="P1239" s="405"/>
      <c r="Q1239" s="405"/>
      <c r="R1239" s="405"/>
      <c r="S1239" s="405"/>
      <c r="T1239" s="405"/>
      <c r="U1239" s="405"/>
      <c r="V1239" s="405"/>
      <c r="W1239" s="405"/>
      <c r="X1239" s="405"/>
      <c r="Y1239" s="405"/>
      <c r="Z1239" s="405"/>
      <c r="AA1239" s="406"/>
      <c r="AB1239" s="395"/>
      <c r="AC1239" s="396"/>
      <c r="AD1239" s="396"/>
      <c r="AE1239" s="396"/>
      <c r="AF1239" s="396"/>
      <c r="AG1239" s="396"/>
      <c r="AH1239" s="396"/>
      <c r="AI1239" s="397"/>
      <c r="AJ1239" s="395"/>
      <c r="AK1239" s="396"/>
      <c r="AL1239" s="396"/>
      <c r="AM1239" s="396"/>
      <c r="AN1239" s="396"/>
      <c r="AO1239" s="396"/>
      <c r="AP1239" s="396"/>
      <c r="AQ1239" s="396"/>
      <c r="AR1239" s="402"/>
    </row>
    <row r="1240" spans="3:44" ht="18" customHeight="1">
      <c r="C1240" s="404" t="s">
        <v>102</v>
      </c>
      <c r="D1240" s="405"/>
      <c r="E1240" s="405"/>
      <c r="F1240" s="405"/>
      <c r="G1240" s="405"/>
      <c r="H1240" s="405"/>
      <c r="I1240" s="405"/>
      <c r="J1240" s="405"/>
      <c r="K1240" s="405"/>
      <c r="L1240" s="405"/>
      <c r="M1240" s="405"/>
      <c r="N1240" s="405"/>
      <c r="O1240" s="405"/>
      <c r="P1240" s="405"/>
      <c r="Q1240" s="405"/>
      <c r="R1240" s="405"/>
      <c r="S1240" s="405"/>
      <c r="T1240" s="405"/>
      <c r="U1240" s="405"/>
      <c r="V1240" s="405"/>
      <c r="W1240" s="405"/>
      <c r="X1240" s="405"/>
      <c r="Y1240" s="405"/>
      <c r="Z1240" s="405"/>
      <c r="AA1240" s="406"/>
      <c r="AB1240" s="395"/>
      <c r="AC1240" s="396"/>
      <c r="AD1240" s="396"/>
      <c r="AE1240" s="396"/>
      <c r="AF1240" s="396"/>
      <c r="AG1240" s="396"/>
      <c r="AH1240" s="396"/>
      <c r="AI1240" s="397"/>
      <c r="AJ1240" s="395"/>
      <c r="AK1240" s="396"/>
      <c r="AL1240" s="396"/>
      <c r="AM1240" s="396"/>
      <c r="AN1240" s="396"/>
      <c r="AO1240" s="396"/>
      <c r="AP1240" s="396"/>
      <c r="AQ1240" s="396"/>
      <c r="AR1240" s="402"/>
    </row>
    <row r="1241" spans="3:44" ht="18" customHeight="1">
      <c r="C1241" s="407"/>
      <c r="D1241" s="408"/>
      <c r="E1241" s="408"/>
      <c r="F1241" s="408"/>
      <c r="G1241" s="408"/>
      <c r="H1241" s="408"/>
      <c r="I1241" s="408"/>
      <c r="J1241" s="408"/>
      <c r="K1241" s="408"/>
      <c r="L1241" s="408"/>
      <c r="M1241" s="408"/>
      <c r="N1241" s="408"/>
      <c r="O1241" s="408"/>
      <c r="P1241" s="408"/>
      <c r="Q1241" s="408"/>
      <c r="R1241" s="408"/>
      <c r="S1241" s="408"/>
      <c r="T1241" s="408"/>
      <c r="U1241" s="408"/>
      <c r="V1241" s="408"/>
      <c r="W1241" s="408"/>
      <c r="X1241" s="408"/>
      <c r="Y1241" s="408"/>
      <c r="Z1241" s="408"/>
      <c r="AA1241" s="408"/>
      <c r="AB1241" s="398"/>
      <c r="AC1241" s="399"/>
      <c r="AD1241" s="399"/>
      <c r="AE1241" s="399"/>
      <c r="AF1241" s="399"/>
      <c r="AG1241" s="399"/>
      <c r="AH1241" s="399"/>
      <c r="AI1241" s="400"/>
      <c r="AJ1241" s="398"/>
      <c r="AK1241" s="399"/>
      <c r="AL1241" s="399"/>
      <c r="AM1241" s="399"/>
      <c r="AN1241" s="399"/>
      <c r="AO1241" s="399"/>
      <c r="AP1241" s="399"/>
      <c r="AQ1241" s="399"/>
      <c r="AR1241" s="403"/>
    </row>
    <row r="1243" spans="3:44" ht="18" customHeight="1">
      <c r="C1243" s="850" t="s">
        <v>64</v>
      </c>
      <c r="D1243" s="851"/>
      <c r="E1243" s="851"/>
      <c r="F1243" s="851"/>
      <c r="G1243" s="851"/>
      <c r="H1243" s="851"/>
      <c r="I1243" s="851"/>
      <c r="J1243" s="851"/>
      <c r="K1243" s="851"/>
      <c r="L1243" s="851"/>
      <c r="M1243" s="851"/>
      <c r="N1243" s="851"/>
      <c r="O1243" s="851"/>
      <c r="P1243" s="851"/>
      <c r="Q1243" s="851"/>
      <c r="R1243" s="851"/>
      <c r="S1243" s="851"/>
      <c r="T1243" s="851"/>
      <c r="U1243" s="851"/>
      <c r="V1243" s="851"/>
      <c r="W1243" s="851"/>
      <c r="X1243" s="851"/>
      <c r="Y1243" s="851"/>
      <c r="Z1243" s="851"/>
      <c r="AA1243" s="851"/>
      <c r="AB1243" s="851"/>
      <c r="AC1243" s="851"/>
      <c r="AD1243" s="851"/>
      <c r="AE1243" s="851"/>
      <c r="AF1243" s="851"/>
      <c r="AG1243" s="851"/>
      <c r="AH1243" s="851"/>
      <c r="AI1243" s="851"/>
      <c r="AJ1243" s="851"/>
      <c r="AK1243" s="851"/>
      <c r="AL1243" s="851"/>
      <c r="AM1243" s="851"/>
      <c r="AN1243" s="851"/>
      <c r="AO1243" s="851"/>
      <c r="AP1243" s="851"/>
      <c r="AQ1243" s="851"/>
      <c r="AR1243" s="852"/>
    </row>
    <row r="1244" spans="3:44" ht="18" customHeight="1">
      <c r="C1244" s="853"/>
      <c r="D1244" s="854"/>
      <c r="E1244" s="854"/>
      <c r="F1244" s="854"/>
      <c r="G1244" s="854"/>
      <c r="H1244" s="854"/>
      <c r="I1244" s="854"/>
      <c r="J1244" s="854"/>
      <c r="K1244" s="854"/>
      <c r="L1244" s="854"/>
      <c r="M1244" s="854"/>
      <c r="N1244" s="854"/>
      <c r="O1244" s="854"/>
      <c r="P1244" s="854"/>
      <c r="Q1244" s="854"/>
      <c r="R1244" s="854"/>
      <c r="S1244" s="854"/>
      <c r="T1244" s="854"/>
      <c r="U1244" s="854"/>
      <c r="V1244" s="854"/>
      <c r="W1244" s="854"/>
      <c r="X1244" s="854"/>
      <c r="Y1244" s="854"/>
      <c r="Z1244" s="854"/>
      <c r="AA1244" s="854"/>
      <c r="AB1244" s="854"/>
      <c r="AC1244" s="854"/>
      <c r="AD1244" s="854"/>
      <c r="AE1244" s="854"/>
      <c r="AF1244" s="854"/>
      <c r="AG1244" s="854"/>
      <c r="AH1244" s="854"/>
      <c r="AI1244" s="854"/>
      <c r="AJ1244" s="854"/>
      <c r="AK1244" s="854"/>
      <c r="AL1244" s="854"/>
      <c r="AM1244" s="854"/>
      <c r="AN1244" s="854"/>
      <c r="AO1244" s="854"/>
      <c r="AP1244" s="854"/>
      <c r="AQ1244" s="854"/>
      <c r="AR1244" s="855"/>
    </row>
    <row r="1245" spans="3:44" ht="18" customHeight="1">
      <c r="C1245" s="856" t="s">
        <v>65</v>
      </c>
      <c r="D1245" s="857"/>
      <c r="E1245" s="857"/>
      <c r="F1245" s="857"/>
      <c r="G1245" s="860" t="s">
        <v>1580</v>
      </c>
      <c r="H1245" s="860"/>
      <c r="I1245" s="860"/>
      <c r="J1245" s="861"/>
      <c r="K1245" s="864" t="s">
        <v>66</v>
      </c>
      <c r="L1245" s="865"/>
      <c r="M1245" s="865"/>
      <c r="N1245" s="865"/>
      <c r="O1245" s="526" t="s">
        <v>1578</v>
      </c>
      <c r="P1245" s="526"/>
      <c r="Q1245" s="526"/>
      <c r="R1245" s="526"/>
      <c r="S1245" s="526"/>
      <c r="T1245" s="526"/>
      <c r="U1245" s="526"/>
      <c r="V1245" s="526"/>
      <c r="W1245" s="526"/>
      <c r="X1245" s="526"/>
      <c r="Y1245" s="526"/>
      <c r="Z1245" s="526"/>
      <c r="AA1245" s="526"/>
      <c r="AB1245" s="526"/>
      <c r="AC1245" s="526"/>
      <c r="AD1245" s="526"/>
      <c r="AE1245" s="526"/>
      <c r="AF1245" s="526"/>
      <c r="AG1245" s="526"/>
      <c r="AH1245" s="526"/>
      <c r="AI1245" s="526"/>
      <c r="AJ1245" s="526"/>
      <c r="AK1245" s="527"/>
      <c r="AL1245" s="864" t="s">
        <v>67</v>
      </c>
      <c r="AM1245" s="865"/>
      <c r="AN1245" s="865"/>
      <c r="AO1245" s="865"/>
      <c r="AP1245" s="843" t="s">
        <v>194</v>
      </c>
      <c r="AQ1245" s="843"/>
      <c r="AR1245" s="844"/>
    </row>
    <row r="1246" spans="3:44" ht="18" customHeight="1">
      <c r="C1246" s="858"/>
      <c r="D1246" s="859"/>
      <c r="E1246" s="859"/>
      <c r="F1246" s="859"/>
      <c r="G1246" s="862"/>
      <c r="H1246" s="862"/>
      <c r="I1246" s="862"/>
      <c r="J1246" s="863"/>
      <c r="K1246" s="866"/>
      <c r="L1246" s="867"/>
      <c r="M1246" s="867"/>
      <c r="N1246" s="867"/>
      <c r="O1246" s="528"/>
      <c r="P1246" s="528"/>
      <c r="Q1246" s="528"/>
      <c r="R1246" s="528"/>
      <c r="S1246" s="528"/>
      <c r="T1246" s="528"/>
      <c r="U1246" s="528"/>
      <c r="V1246" s="528"/>
      <c r="W1246" s="528"/>
      <c r="X1246" s="528"/>
      <c r="Y1246" s="528"/>
      <c r="Z1246" s="528"/>
      <c r="AA1246" s="528"/>
      <c r="AB1246" s="528"/>
      <c r="AC1246" s="528"/>
      <c r="AD1246" s="528"/>
      <c r="AE1246" s="528"/>
      <c r="AF1246" s="528"/>
      <c r="AG1246" s="528"/>
      <c r="AH1246" s="528"/>
      <c r="AI1246" s="528"/>
      <c r="AJ1246" s="528"/>
      <c r="AK1246" s="529"/>
      <c r="AL1246" s="866"/>
      <c r="AM1246" s="867"/>
      <c r="AN1246" s="867"/>
      <c r="AO1246" s="867"/>
      <c r="AP1246" s="845"/>
      <c r="AQ1246" s="845"/>
      <c r="AR1246" s="846"/>
    </row>
    <row r="1248" spans="3:44" ht="18" customHeight="1">
      <c r="C1248" s="794" t="s">
        <v>43</v>
      </c>
      <c r="D1248" s="774"/>
      <c r="E1248" s="775"/>
      <c r="F1248" s="773" t="s">
        <v>68</v>
      </c>
      <c r="G1248" s="774"/>
      <c r="H1248" s="774"/>
      <c r="I1248" s="774"/>
      <c r="J1248" s="774"/>
      <c r="K1248" s="774"/>
      <c r="L1248" s="774"/>
      <c r="M1248" s="774"/>
      <c r="N1248" s="774"/>
      <c r="O1248" s="774"/>
      <c r="P1248" s="774"/>
      <c r="Q1248" s="774"/>
      <c r="R1248" s="774"/>
      <c r="S1248" s="774"/>
      <c r="T1248" s="774"/>
      <c r="U1248" s="775"/>
      <c r="V1248" s="773" t="s">
        <v>249</v>
      </c>
      <c r="W1248" s="774"/>
      <c r="X1248" s="775"/>
      <c r="Y1248" s="847" t="s">
        <v>69</v>
      </c>
      <c r="Z1248" s="848"/>
      <c r="AA1248" s="848"/>
      <c r="AB1248" s="848"/>
      <c r="AC1248" s="848"/>
      <c r="AD1248" s="848"/>
      <c r="AE1248" s="848"/>
      <c r="AF1248" s="849"/>
      <c r="AG1248" s="847" t="s">
        <v>70</v>
      </c>
      <c r="AH1248" s="848"/>
      <c r="AI1248" s="848"/>
      <c r="AJ1248" s="848"/>
      <c r="AK1248" s="848"/>
      <c r="AL1248" s="848"/>
      <c r="AM1248" s="848"/>
      <c r="AN1248" s="849"/>
      <c r="AO1248" s="773" t="s">
        <v>71</v>
      </c>
      <c r="AP1248" s="774"/>
      <c r="AQ1248" s="774"/>
      <c r="AR1248" s="779"/>
    </row>
    <row r="1249" spans="3:44" ht="18" customHeight="1">
      <c r="C1249" s="795"/>
      <c r="D1249" s="777"/>
      <c r="E1249" s="778"/>
      <c r="F1249" s="776"/>
      <c r="G1249" s="777"/>
      <c r="H1249" s="777"/>
      <c r="I1249" s="777"/>
      <c r="J1249" s="777"/>
      <c r="K1249" s="777"/>
      <c r="L1249" s="777"/>
      <c r="M1249" s="777"/>
      <c r="N1249" s="777"/>
      <c r="O1249" s="777"/>
      <c r="P1249" s="777"/>
      <c r="Q1249" s="777"/>
      <c r="R1249" s="777"/>
      <c r="S1249" s="777"/>
      <c r="T1249" s="777"/>
      <c r="U1249" s="778"/>
      <c r="V1249" s="776"/>
      <c r="W1249" s="777"/>
      <c r="X1249" s="778"/>
      <c r="Y1249" s="834" t="s">
        <v>72</v>
      </c>
      <c r="Z1249" s="835"/>
      <c r="AA1249" s="835"/>
      <c r="AB1249" s="836"/>
      <c r="AC1249" s="834" t="s">
        <v>73</v>
      </c>
      <c r="AD1249" s="835"/>
      <c r="AE1249" s="835"/>
      <c r="AF1249" s="836"/>
      <c r="AG1249" s="834" t="s">
        <v>72</v>
      </c>
      <c r="AH1249" s="835"/>
      <c r="AI1249" s="835"/>
      <c r="AJ1249" s="836"/>
      <c r="AK1249" s="834" t="s">
        <v>73</v>
      </c>
      <c r="AL1249" s="835"/>
      <c r="AM1249" s="835"/>
      <c r="AN1249" s="836"/>
      <c r="AO1249" s="776"/>
      <c r="AP1249" s="777"/>
      <c r="AQ1249" s="777"/>
      <c r="AR1249" s="780"/>
    </row>
    <row r="1250" spans="3:44" ht="18" customHeight="1">
      <c r="C1250" s="781" t="s">
        <v>1386</v>
      </c>
      <c r="D1250" s="782"/>
      <c r="E1250" s="783"/>
      <c r="F1250" s="493" t="s">
        <v>866</v>
      </c>
      <c r="G1250" s="493"/>
      <c r="H1250" s="493"/>
      <c r="I1250" s="493"/>
      <c r="J1250" s="493"/>
      <c r="K1250" s="493"/>
      <c r="L1250" s="493"/>
      <c r="M1250" s="493"/>
      <c r="N1250" s="493"/>
      <c r="O1250" s="493"/>
      <c r="P1250" s="493"/>
      <c r="Q1250" s="493"/>
      <c r="R1250" s="493"/>
      <c r="S1250" s="493"/>
      <c r="T1250" s="493"/>
      <c r="U1250" s="493"/>
      <c r="V1250" s="837">
        <v>0.12</v>
      </c>
      <c r="W1250" s="838"/>
      <c r="X1250" s="839"/>
      <c r="Y1250" s="837">
        <v>1</v>
      </c>
      <c r="Z1250" s="838"/>
      <c r="AA1250" s="838"/>
      <c r="AB1250" s="839"/>
      <c r="AC1250" s="840">
        <f>1-Y1250</f>
        <v>0</v>
      </c>
      <c r="AD1250" s="841"/>
      <c r="AE1250" s="841"/>
      <c r="AF1250" s="842"/>
      <c r="AG1250" s="491">
        <f>VLOOKUP(C1250,[5]EQUIPAMENTOS!A$1:D$65536,3,FALSE)</f>
        <v>120.4585</v>
      </c>
      <c r="AH1250" s="491"/>
      <c r="AI1250" s="491"/>
      <c r="AJ1250" s="491"/>
      <c r="AK1250" s="491">
        <f>VLOOKUP(C1250,[5]EQUIPAMENTOS!A$1:D$65536,4,FALSE)</f>
        <v>17.939399999999999</v>
      </c>
      <c r="AL1250" s="491"/>
      <c r="AM1250" s="491"/>
      <c r="AN1250" s="491"/>
      <c r="AO1250" s="491">
        <f>ROUND((Y1250*AG1250+AC1250*AK1250)*V1250,2)</f>
        <v>14.46</v>
      </c>
      <c r="AP1250" s="491"/>
      <c r="AQ1250" s="491"/>
      <c r="AR1250" s="492"/>
    </row>
    <row r="1251" spans="3:44" ht="18" customHeight="1">
      <c r="C1251" s="758" t="s">
        <v>1387</v>
      </c>
      <c r="D1251" s="759"/>
      <c r="E1251" s="760"/>
      <c r="F1251" s="493" t="s">
        <v>867</v>
      </c>
      <c r="G1251" s="493"/>
      <c r="H1251" s="493"/>
      <c r="I1251" s="493"/>
      <c r="J1251" s="493"/>
      <c r="K1251" s="493"/>
      <c r="L1251" s="493"/>
      <c r="M1251" s="493"/>
      <c r="N1251" s="493"/>
      <c r="O1251" s="493"/>
      <c r="P1251" s="493"/>
      <c r="Q1251" s="493"/>
      <c r="R1251" s="493"/>
      <c r="S1251" s="493"/>
      <c r="T1251" s="493"/>
      <c r="U1251" s="493"/>
      <c r="V1251" s="466">
        <v>0.05</v>
      </c>
      <c r="W1251" s="467"/>
      <c r="X1251" s="468"/>
      <c r="Y1251" s="466">
        <v>1</v>
      </c>
      <c r="Z1251" s="467"/>
      <c r="AA1251" s="467"/>
      <c r="AB1251" s="468"/>
      <c r="AC1251" s="828">
        <f>1-Y1251</f>
        <v>0</v>
      </c>
      <c r="AD1251" s="829"/>
      <c r="AE1251" s="829"/>
      <c r="AF1251" s="830"/>
      <c r="AG1251" s="491">
        <f>VLOOKUP(C1251,[5]EQUIPAMENTOS!A$1:D$65536,3,FALSE)</f>
        <v>123.3065</v>
      </c>
      <c r="AH1251" s="491"/>
      <c r="AI1251" s="491"/>
      <c r="AJ1251" s="491"/>
      <c r="AK1251" s="491">
        <f>VLOOKUP(C1251,[5]EQUIPAMENTOS!A$1:D$65536,4,FALSE)</f>
        <v>17.939399999999999</v>
      </c>
      <c r="AL1251" s="491"/>
      <c r="AM1251" s="491"/>
      <c r="AN1251" s="491"/>
      <c r="AO1251" s="491">
        <f>ROUND((Y1251*AG1251+AC1251*AK1251)*V1251,2)</f>
        <v>6.17</v>
      </c>
      <c r="AP1251" s="491"/>
      <c r="AQ1251" s="491"/>
      <c r="AR1251" s="492"/>
    </row>
    <row r="1252" spans="3:44" ht="18" customHeight="1">
      <c r="C1252" s="758"/>
      <c r="D1252" s="759"/>
      <c r="E1252" s="760"/>
      <c r="F1252" s="493"/>
      <c r="G1252" s="493"/>
      <c r="H1252" s="493"/>
      <c r="I1252" s="493"/>
      <c r="J1252" s="493"/>
      <c r="K1252" s="493"/>
      <c r="L1252" s="493"/>
      <c r="M1252" s="493"/>
      <c r="N1252" s="493"/>
      <c r="O1252" s="493"/>
      <c r="P1252" s="493"/>
      <c r="Q1252" s="493"/>
      <c r="R1252" s="493"/>
      <c r="S1252" s="493"/>
      <c r="T1252" s="493"/>
      <c r="U1252" s="493"/>
      <c r="V1252" s="466"/>
      <c r="W1252" s="467"/>
      <c r="X1252" s="468"/>
      <c r="Y1252" s="466"/>
      <c r="Z1252" s="467"/>
      <c r="AA1252" s="467"/>
      <c r="AB1252" s="468"/>
      <c r="AC1252" s="828"/>
      <c r="AD1252" s="829"/>
      <c r="AE1252" s="829"/>
      <c r="AF1252" s="830"/>
      <c r="AG1252" s="491"/>
      <c r="AH1252" s="491"/>
      <c r="AI1252" s="491"/>
      <c r="AJ1252" s="491"/>
      <c r="AK1252" s="491"/>
      <c r="AL1252" s="491"/>
      <c r="AM1252" s="491"/>
      <c r="AN1252" s="491"/>
      <c r="AO1252" s="491"/>
      <c r="AP1252" s="491"/>
      <c r="AQ1252" s="491"/>
      <c r="AR1252" s="492"/>
    </row>
    <row r="1253" spans="3:44" ht="18" customHeight="1">
      <c r="C1253" s="758"/>
      <c r="D1253" s="759"/>
      <c r="E1253" s="760"/>
      <c r="F1253" s="493"/>
      <c r="G1253" s="493"/>
      <c r="H1253" s="493"/>
      <c r="I1253" s="493"/>
      <c r="J1253" s="493"/>
      <c r="K1253" s="493"/>
      <c r="L1253" s="493"/>
      <c r="M1253" s="493"/>
      <c r="N1253" s="493"/>
      <c r="O1253" s="493"/>
      <c r="P1253" s="493"/>
      <c r="Q1253" s="493"/>
      <c r="R1253" s="493"/>
      <c r="S1253" s="493"/>
      <c r="T1253" s="493"/>
      <c r="U1253" s="493"/>
      <c r="V1253" s="466"/>
      <c r="W1253" s="467"/>
      <c r="X1253" s="468"/>
      <c r="Y1253" s="466"/>
      <c r="Z1253" s="467"/>
      <c r="AA1253" s="467"/>
      <c r="AB1253" s="468"/>
      <c r="AC1253" s="828"/>
      <c r="AD1253" s="829"/>
      <c r="AE1253" s="829"/>
      <c r="AF1253" s="830"/>
      <c r="AG1253" s="491"/>
      <c r="AH1253" s="491"/>
      <c r="AI1253" s="491"/>
      <c r="AJ1253" s="491"/>
      <c r="AK1253" s="491"/>
      <c r="AL1253" s="491"/>
      <c r="AM1253" s="491"/>
      <c r="AN1253" s="491"/>
      <c r="AO1253" s="491"/>
      <c r="AP1253" s="491"/>
      <c r="AQ1253" s="491"/>
      <c r="AR1253" s="492"/>
    </row>
    <row r="1254" spans="3:44" ht="18" customHeight="1">
      <c r="C1254" s="758"/>
      <c r="D1254" s="759"/>
      <c r="E1254" s="760"/>
      <c r="F1254" s="493"/>
      <c r="G1254" s="493"/>
      <c r="H1254" s="493"/>
      <c r="I1254" s="493"/>
      <c r="J1254" s="493"/>
      <c r="K1254" s="493"/>
      <c r="L1254" s="493"/>
      <c r="M1254" s="493"/>
      <c r="N1254" s="493"/>
      <c r="O1254" s="493"/>
      <c r="P1254" s="493"/>
      <c r="Q1254" s="493"/>
      <c r="R1254" s="493"/>
      <c r="S1254" s="493"/>
      <c r="T1254" s="493"/>
      <c r="U1254" s="493"/>
      <c r="V1254" s="466"/>
      <c r="W1254" s="467"/>
      <c r="X1254" s="468"/>
      <c r="Y1254" s="466"/>
      <c r="Z1254" s="467"/>
      <c r="AA1254" s="467"/>
      <c r="AB1254" s="468"/>
      <c r="AC1254" s="828"/>
      <c r="AD1254" s="829"/>
      <c r="AE1254" s="829"/>
      <c r="AF1254" s="830"/>
      <c r="AG1254" s="491"/>
      <c r="AH1254" s="491"/>
      <c r="AI1254" s="491"/>
      <c r="AJ1254" s="491"/>
      <c r="AK1254" s="491"/>
      <c r="AL1254" s="491"/>
      <c r="AM1254" s="491"/>
      <c r="AN1254" s="491"/>
      <c r="AO1254" s="491"/>
      <c r="AP1254" s="491"/>
      <c r="AQ1254" s="491"/>
      <c r="AR1254" s="492"/>
    </row>
    <row r="1255" spans="3:44" ht="18" customHeight="1">
      <c r="C1255" s="758"/>
      <c r="D1255" s="759"/>
      <c r="E1255" s="760"/>
      <c r="F1255" s="493"/>
      <c r="G1255" s="493"/>
      <c r="H1255" s="493"/>
      <c r="I1255" s="493"/>
      <c r="J1255" s="493"/>
      <c r="K1255" s="493"/>
      <c r="L1255" s="493"/>
      <c r="M1255" s="493"/>
      <c r="N1255" s="493"/>
      <c r="O1255" s="493"/>
      <c r="P1255" s="493"/>
      <c r="Q1255" s="493"/>
      <c r="R1255" s="493"/>
      <c r="S1255" s="493"/>
      <c r="T1255" s="493"/>
      <c r="U1255" s="493"/>
      <c r="V1255" s="466"/>
      <c r="W1255" s="467"/>
      <c r="X1255" s="468"/>
      <c r="Y1255" s="466"/>
      <c r="Z1255" s="467"/>
      <c r="AA1255" s="467"/>
      <c r="AB1255" s="468"/>
      <c r="AC1255" s="828"/>
      <c r="AD1255" s="829"/>
      <c r="AE1255" s="829"/>
      <c r="AF1255" s="830"/>
      <c r="AG1255" s="491"/>
      <c r="AH1255" s="491"/>
      <c r="AI1255" s="491"/>
      <c r="AJ1255" s="491"/>
      <c r="AK1255" s="491"/>
      <c r="AL1255" s="491"/>
      <c r="AM1255" s="491"/>
      <c r="AN1255" s="491"/>
      <c r="AO1255" s="491"/>
      <c r="AP1255" s="491"/>
      <c r="AQ1255" s="491"/>
      <c r="AR1255" s="492"/>
    </row>
    <row r="1256" spans="3:44" ht="18" customHeight="1">
      <c r="C1256" s="758"/>
      <c r="D1256" s="759"/>
      <c r="E1256" s="760"/>
      <c r="F1256" s="796"/>
      <c r="G1256" s="797"/>
      <c r="H1256" s="797"/>
      <c r="I1256" s="797"/>
      <c r="J1256" s="797"/>
      <c r="K1256" s="797"/>
      <c r="L1256" s="797"/>
      <c r="M1256" s="797"/>
      <c r="N1256" s="797"/>
      <c r="O1256" s="797"/>
      <c r="P1256" s="797"/>
      <c r="Q1256" s="797"/>
      <c r="R1256" s="797"/>
      <c r="S1256" s="797"/>
      <c r="T1256" s="797"/>
      <c r="U1256" s="798"/>
      <c r="V1256" s="466"/>
      <c r="W1256" s="467"/>
      <c r="X1256" s="468"/>
      <c r="Y1256" s="466"/>
      <c r="Z1256" s="467"/>
      <c r="AA1256" s="467"/>
      <c r="AB1256" s="468"/>
      <c r="AC1256" s="828"/>
      <c r="AD1256" s="829"/>
      <c r="AE1256" s="829"/>
      <c r="AF1256" s="830"/>
      <c r="AG1256" s="466"/>
      <c r="AH1256" s="467"/>
      <c r="AI1256" s="467"/>
      <c r="AJ1256" s="468"/>
      <c r="AK1256" s="466"/>
      <c r="AL1256" s="467"/>
      <c r="AM1256" s="467"/>
      <c r="AN1256" s="468"/>
      <c r="AO1256" s="466"/>
      <c r="AP1256" s="467"/>
      <c r="AQ1256" s="467"/>
      <c r="AR1256" s="823"/>
    </row>
    <row r="1257" spans="3:44" ht="18" customHeight="1">
      <c r="C1257" s="758"/>
      <c r="D1257" s="759"/>
      <c r="E1257" s="760"/>
      <c r="F1257" s="796"/>
      <c r="G1257" s="797"/>
      <c r="H1257" s="797"/>
      <c r="I1257" s="797"/>
      <c r="J1257" s="797"/>
      <c r="K1257" s="797"/>
      <c r="L1257" s="797"/>
      <c r="M1257" s="797"/>
      <c r="N1257" s="797"/>
      <c r="O1257" s="797"/>
      <c r="P1257" s="797"/>
      <c r="Q1257" s="797"/>
      <c r="R1257" s="797"/>
      <c r="S1257" s="797"/>
      <c r="T1257" s="797"/>
      <c r="U1257" s="798"/>
      <c r="V1257" s="466"/>
      <c r="W1257" s="467"/>
      <c r="X1257" s="468"/>
      <c r="Y1257" s="466"/>
      <c r="Z1257" s="467"/>
      <c r="AA1257" s="467"/>
      <c r="AB1257" s="468"/>
      <c r="AC1257" s="828"/>
      <c r="AD1257" s="829"/>
      <c r="AE1257" s="829"/>
      <c r="AF1257" s="830"/>
      <c r="AG1257" s="466"/>
      <c r="AH1257" s="467"/>
      <c r="AI1257" s="467"/>
      <c r="AJ1257" s="468"/>
      <c r="AK1257" s="466"/>
      <c r="AL1257" s="467"/>
      <c r="AM1257" s="467"/>
      <c r="AN1257" s="468"/>
      <c r="AO1257" s="466"/>
      <c r="AP1257" s="467"/>
      <c r="AQ1257" s="467"/>
      <c r="AR1257" s="823"/>
    </row>
    <row r="1258" spans="3:44" ht="18" customHeight="1">
      <c r="C1258" s="743"/>
      <c r="D1258" s="744"/>
      <c r="E1258" s="744"/>
      <c r="F1258" s="744"/>
      <c r="G1258" s="744"/>
      <c r="H1258" s="744"/>
      <c r="I1258" s="744"/>
      <c r="J1258" s="744"/>
      <c r="K1258" s="744"/>
      <c r="L1258" s="744"/>
      <c r="M1258" s="744"/>
      <c r="N1258" s="744"/>
      <c r="O1258" s="744"/>
      <c r="P1258" s="744"/>
      <c r="Q1258" s="744"/>
      <c r="R1258" s="744"/>
      <c r="S1258" s="744"/>
      <c r="T1258" s="744"/>
      <c r="U1258" s="744"/>
      <c r="V1258" s="744"/>
      <c r="W1258" s="744"/>
      <c r="X1258" s="824"/>
      <c r="Y1258" s="825" t="s">
        <v>74</v>
      </c>
      <c r="Z1258" s="826"/>
      <c r="AA1258" s="826"/>
      <c r="AB1258" s="826"/>
      <c r="AC1258" s="826"/>
      <c r="AD1258" s="826"/>
      <c r="AE1258" s="826"/>
      <c r="AF1258" s="826"/>
      <c r="AG1258" s="826"/>
      <c r="AH1258" s="826"/>
      <c r="AI1258" s="826"/>
      <c r="AJ1258" s="826"/>
      <c r="AK1258" s="826"/>
      <c r="AL1258" s="826"/>
      <c r="AM1258" s="826"/>
      <c r="AN1258" s="827"/>
      <c r="AO1258" s="477">
        <f>SUM(AO1250:AR1257)</f>
        <v>20.630000000000003</v>
      </c>
      <c r="AP1258" s="746"/>
      <c r="AQ1258" s="746"/>
      <c r="AR1258" s="747"/>
    </row>
    <row r="1260" spans="3:44" ht="18" customHeight="1">
      <c r="C1260" s="794" t="s">
        <v>43</v>
      </c>
      <c r="D1260" s="774"/>
      <c r="E1260" s="775"/>
      <c r="F1260" s="773" t="s">
        <v>75</v>
      </c>
      <c r="G1260" s="774"/>
      <c r="H1260" s="774"/>
      <c r="I1260" s="774"/>
      <c r="J1260" s="774"/>
      <c r="K1260" s="774"/>
      <c r="L1260" s="774"/>
      <c r="M1260" s="774"/>
      <c r="N1260" s="774"/>
      <c r="O1260" s="774"/>
      <c r="P1260" s="774"/>
      <c r="Q1260" s="774"/>
      <c r="R1260" s="774"/>
      <c r="S1260" s="774"/>
      <c r="T1260" s="774"/>
      <c r="U1260" s="774"/>
      <c r="V1260" s="774"/>
      <c r="W1260" s="774"/>
      <c r="X1260" s="774"/>
      <c r="Y1260" s="774"/>
      <c r="Z1260" s="774"/>
      <c r="AA1260" s="774"/>
      <c r="AB1260" s="775"/>
      <c r="AC1260" s="773" t="s">
        <v>76</v>
      </c>
      <c r="AD1260" s="774"/>
      <c r="AE1260" s="774"/>
      <c r="AF1260" s="775"/>
      <c r="AG1260" s="773" t="s">
        <v>249</v>
      </c>
      <c r="AH1260" s="774"/>
      <c r="AI1260" s="774"/>
      <c r="AJ1260" s="775"/>
      <c r="AK1260" s="773" t="s">
        <v>77</v>
      </c>
      <c r="AL1260" s="774"/>
      <c r="AM1260" s="774"/>
      <c r="AN1260" s="775"/>
      <c r="AO1260" s="773" t="s">
        <v>71</v>
      </c>
      <c r="AP1260" s="774"/>
      <c r="AQ1260" s="774"/>
      <c r="AR1260" s="779"/>
    </row>
    <row r="1261" spans="3:44" ht="18" customHeight="1">
      <c r="C1261" s="795"/>
      <c r="D1261" s="777"/>
      <c r="E1261" s="778"/>
      <c r="F1261" s="776"/>
      <c r="G1261" s="777"/>
      <c r="H1261" s="777"/>
      <c r="I1261" s="777"/>
      <c r="J1261" s="777"/>
      <c r="K1261" s="777"/>
      <c r="L1261" s="777"/>
      <c r="M1261" s="777"/>
      <c r="N1261" s="777"/>
      <c r="O1261" s="777"/>
      <c r="P1261" s="777"/>
      <c r="Q1261" s="777"/>
      <c r="R1261" s="777"/>
      <c r="S1261" s="777"/>
      <c r="T1261" s="777"/>
      <c r="U1261" s="777"/>
      <c r="V1261" s="777"/>
      <c r="W1261" s="777"/>
      <c r="X1261" s="777"/>
      <c r="Y1261" s="777"/>
      <c r="Z1261" s="777"/>
      <c r="AA1261" s="777"/>
      <c r="AB1261" s="778"/>
      <c r="AC1261" s="776"/>
      <c r="AD1261" s="777"/>
      <c r="AE1261" s="777"/>
      <c r="AF1261" s="778"/>
      <c r="AG1261" s="776"/>
      <c r="AH1261" s="777"/>
      <c r="AI1261" s="777"/>
      <c r="AJ1261" s="778"/>
      <c r="AK1261" s="776"/>
      <c r="AL1261" s="777"/>
      <c r="AM1261" s="777"/>
      <c r="AN1261" s="778"/>
      <c r="AO1261" s="776"/>
      <c r="AP1261" s="777"/>
      <c r="AQ1261" s="777"/>
      <c r="AR1261" s="780"/>
    </row>
    <row r="1262" spans="3:44" ht="18" customHeight="1">
      <c r="C1262" s="781" t="s">
        <v>940</v>
      </c>
      <c r="D1262" s="782"/>
      <c r="E1262" s="783"/>
      <c r="F1262" s="493" t="s">
        <v>105</v>
      </c>
      <c r="G1262" s="493"/>
      <c r="H1262" s="493"/>
      <c r="I1262" s="493"/>
      <c r="J1262" s="493"/>
      <c r="K1262" s="493"/>
      <c r="L1262" s="493"/>
      <c r="M1262" s="493"/>
      <c r="N1262" s="493"/>
      <c r="O1262" s="493"/>
      <c r="P1262" s="493"/>
      <c r="Q1262" s="493"/>
      <c r="R1262" s="493"/>
      <c r="S1262" s="493"/>
      <c r="T1262" s="493"/>
      <c r="U1262" s="493"/>
      <c r="V1262" s="493"/>
      <c r="W1262" s="493"/>
      <c r="X1262" s="493"/>
      <c r="Y1262" s="493"/>
      <c r="Z1262" s="493"/>
      <c r="AA1262" s="493"/>
      <c r="AB1262" s="493"/>
      <c r="AC1262" s="770"/>
      <c r="AD1262" s="771"/>
      <c r="AE1262" s="771"/>
      <c r="AF1262" s="790"/>
      <c r="AG1262" s="770">
        <v>6.5</v>
      </c>
      <c r="AH1262" s="771"/>
      <c r="AI1262" s="771"/>
      <c r="AJ1262" s="790"/>
      <c r="AK1262" s="449">
        <f>VLOOKUP(C1262,[5]MÃODEOBRA!A$1:D$65536,4,FALSE)</f>
        <v>22.98488</v>
      </c>
      <c r="AL1262" s="449"/>
      <c r="AM1262" s="449"/>
      <c r="AN1262" s="449"/>
      <c r="AO1262" s="491">
        <f>ROUND(AG1262*AK1262,2)</f>
        <v>149.4</v>
      </c>
      <c r="AP1262" s="491"/>
      <c r="AQ1262" s="491"/>
      <c r="AR1262" s="492"/>
    </row>
    <row r="1263" spans="3:44" ht="18" customHeight="1">
      <c r="C1263" s="758"/>
      <c r="D1263" s="759"/>
      <c r="E1263" s="760"/>
      <c r="F1263" s="493"/>
      <c r="G1263" s="493"/>
      <c r="H1263" s="493"/>
      <c r="I1263" s="493"/>
      <c r="J1263" s="493"/>
      <c r="K1263" s="493"/>
      <c r="L1263" s="493"/>
      <c r="M1263" s="493"/>
      <c r="N1263" s="493"/>
      <c r="O1263" s="493"/>
      <c r="P1263" s="493"/>
      <c r="Q1263" s="493"/>
      <c r="R1263" s="493"/>
      <c r="S1263" s="493"/>
      <c r="T1263" s="493"/>
      <c r="U1263" s="493"/>
      <c r="V1263" s="493"/>
      <c r="W1263" s="493"/>
      <c r="X1263" s="493"/>
      <c r="Y1263" s="493"/>
      <c r="Z1263" s="493"/>
      <c r="AA1263" s="493"/>
      <c r="AB1263" s="493"/>
      <c r="AC1263" s="740"/>
      <c r="AD1263" s="741"/>
      <c r="AE1263" s="741"/>
      <c r="AF1263" s="757"/>
      <c r="AG1263" s="740"/>
      <c r="AH1263" s="741"/>
      <c r="AI1263" s="741"/>
      <c r="AJ1263" s="757"/>
      <c r="AK1263" s="449"/>
      <c r="AL1263" s="449"/>
      <c r="AM1263" s="449"/>
      <c r="AN1263" s="449"/>
      <c r="AO1263" s="491"/>
      <c r="AP1263" s="491"/>
      <c r="AQ1263" s="491"/>
      <c r="AR1263" s="492"/>
    </row>
    <row r="1264" spans="3:44" ht="18" customHeight="1">
      <c r="C1264" s="758"/>
      <c r="D1264" s="759"/>
      <c r="E1264" s="760"/>
      <c r="F1264" s="796"/>
      <c r="G1264" s="797"/>
      <c r="H1264" s="797"/>
      <c r="I1264" s="797"/>
      <c r="J1264" s="797"/>
      <c r="K1264" s="797"/>
      <c r="L1264" s="797"/>
      <c r="M1264" s="797"/>
      <c r="N1264" s="797"/>
      <c r="O1264" s="797"/>
      <c r="P1264" s="797"/>
      <c r="Q1264" s="797"/>
      <c r="R1264" s="797"/>
      <c r="S1264" s="797"/>
      <c r="T1264" s="797"/>
      <c r="U1264" s="797"/>
      <c r="V1264" s="797"/>
      <c r="W1264" s="797"/>
      <c r="X1264" s="797"/>
      <c r="Y1264" s="797"/>
      <c r="Z1264" s="797"/>
      <c r="AA1264" s="797"/>
      <c r="AB1264" s="798"/>
      <c r="AC1264" s="740"/>
      <c r="AD1264" s="741"/>
      <c r="AE1264" s="741"/>
      <c r="AF1264" s="757"/>
      <c r="AG1264" s="740"/>
      <c r="AH1264" s="741"/>
      <c r="AI1264" s="741"/>
      <c r="AJ1264" s="757"/>
      <c r="AK1264" s="740"/>
      <c r="AL1264" s="741"/>
      <c r="AM1264" s="741"/>
      <c r="AN1264" s="757"/>
      <c r="AO1264" s="466"/>
      <c r="AP1264" s="467"/>
      <c r="AQ1264" s="467"/>
      <c r="AR1264" s="823"/>
    </row>
    <row r="1265" spans="3:44" ht="18" customHeight="1">
      <c r="C1265" s="758"/>
      <c r="D1265" s="759"/>
      <c r="E1265" s="760"/>
      <c r="F1265" s="796"/>
      <c r="G1265" s="797"/>
      <c r="H1265" s="797"/>
      <c r="I1265" s="797"/>
      <c r="J1265" s="797"/>
      <c r="K1265" s="797"/>
      <c r="L1265" s="797"/>
      <c r="M1265" s="797"/>
      <c r="N1265" s="797"/>
      <c r="O1265" s="797"/>
      <c r="P1265" s="797"/>
      <c r="Q1265" s="797"/>
      <c r="R1265" s="797"/>
      <c r="S1265" s="797"/>
      <c r="T1265" s="797"/>
      <c r="U1265" s="797"/>
      <c r="V1265" s="797"/>
      <c r="W1265" s="797"/>
      <c r="X1265" s="797"/>
      <c r="Y1265" s="797"/>
      <c r="Z1265" s="797"/>
      <c r="AA1265" s="797"/>
      <c r="AB1265" s="798"/>
      <c r="AC1265" s="740"/>
      <c r="AD1265" s="741"/>
      <c r="AE1265" s="741"/>
      <c r="AF1265" s="757"/>
      <c r="AG1265" s="740"/>
      <c r="AH1265" s="741"/>
      <c r="AI1265" s="741"/>
      <c r="AJ1265" s="757"/>
      <c r="AK1265" s="740"/>
      <c r="AL1265" s="741"/>
      <c r="AM1265" s="741"/>
      <c r="AN1265" s="757"/>
      <c r="AO1265" s="466"/>
      <c r="AP1265" s="467"/>
      <c r="AQ1265" s="467"/>
      <c r="AR1265" s="823"/>
    </row>
    <row r="1266" spans="3:44" ht="18" customHeight="1">
      <c r="C1266" s="758"/>
      <c r="D1266" s="759"/>
      <c r="E1266" s="760"/>
      <c r="F1266" s="796"/>
      <c r="G1266" s="797"/>
      <c r="H1266" s="797"/>
      <c r="I1266" s="797"/>
      <c r="J1266" s="797"/>
      <c r="K1266" s="797"/>
      <c r="L1266" s="797"/>
      <c r="M1266" s="797"/>
      <c r="N1266" s="797"/>
      <c r="O1266" s="797"/>
      <c r="P1266" s="797"/>
      <c r="Q1266" s="797"/>
      <c r="R1266" s="797"/>
      <c r="S1266" s="797"/>
      <c r="T1266" s="797"/>
      <c r="U1266" s="797"/>
      <c r="V1266" s="797"/>
      <c r="W1266" s="797"/>
      <c r="X1266" s="797"/>
      <c r="Y1266" s="797"/>
      <c r="Z1266" s="797"/>
      <c r="AA1266" s="797"/>
      <c r="AB1266" s="798"/>
      <c r="AC1266" s="740"/>
      <c r="AD1266" s="741"/>
      <c r="AE1266" s="741"/>
      <c r="AF1266" s="757"/>
      <c r="AG1266" s="740"/>
      <c r="AH1266" s="741"/>
      <c r="AI1266" s="741"/>
      <c r="AJ1266" s="757"/>
      <c r="AK1266" s="740"/>
      <c r="AL1266" s="741"/>
      <c r="AM1266" s="741"/>
      <c r="AN1266" s="757"/>
      <c r="AO1266" s="466"/>
      <c r="AP1266" s="467"/>
      <c r="AQ1266" s="467"/>
      <c r="AR1266" s="823"/>
    </row>
    <row r="1267" spans="3:44" ht="18" customHeight="1">
      <c r="C1267" s="758"/>
      <c r="D1267" s="759"/>
      <c r="E1267" s="760"/>
      <c r="F1267" s="796"/>
      <c r="G1267" s="797"/>
      <c r="H1267" s="797"/>
      <c r="I1267" s="797"/>
      <c r="J1267" s="797"/>
      <c r="K1267" s="797"/>
      <c r="L1267" s="797"/>
      <c r="M1267" s="797"/>
      <c r="N1267" s="797"/>
      <c r="O1267" s="797"/>
      <c r="P1267" s="797"/>
      <c r="Q1267" s="797"/>
      <c r="R1267" s="797"/>
      <c r="S1267" s="797"/>
      <c r="T1267" s="797"/>
      <c r="U1267" s="797"/>
      <c r="V1267" s="797"/>
      <c r="W1267" s="797"/>
      <c r="X1267" s="797"/>
      <c r="Y1267" s="797"/>
      <c r="Z1267" s="797"/>
      <c r="AA1267" s="797"/>
      <c r="AB1267" s="798"/>
      <c r="AC1267" s="740"/>
      <c r="AD1267" s="741"/>
      <c r="AE1267" s="741"/>
      <c r="AF1267" s="757"/>
      <c r="AG1267" s="740"/>
      <c r="AH1267" s="741"/>
      <c r="AI1267" s="741"/>
      <c r="AJ1267" s="757"/>
      <c r="AK1267" s="740"/>
      <c r="AL1267" s="741"/>
      <c r="AM1267" s="741"/>
      <c r="AN1267" s="757"/>
      <c r="AO1267" s="466"/>
      <c r="AP1267" s="467"/>
      <c r="AQ1267" s="467"/>
      <c r="AR1267" s="823"/>
    </row>
    <row r="1268" spans="3:44" ht="18" customHeight="1">
      <c r="C1268" s="758"/>
      <c r="D1268" s="759"/>
      <c r="E1268" s="760"/>
      <c r="F1268" s="796"/>
      <c r="G1268" s="797"/>
      <c r="H1268" s="797"/>
      <c r="I1268" s="797"/>
      <c r="J1268" s="797"/>
      <c r="K1268" s="797"/>
      <c r="L1268" s="797"/>
      <c r="M1268" s="797"/>
      <c r="N1268" s="797"/>
      <c r="O1268" s="797"/>
      <c r="P1268" s="797"/>
      <c r="Q1268" s="797"/>
      <c r="R1268" s="797"/>
      <c r="S1268" s="797"/>
      <c r="T1268" s="797"/>
      <c r="U1268" s="797"/>
      <c r="V1268" s="797"/>
      <c r="W1268" s="797"/>
      <c r="X1268" s="797"/>
      <c r="Y1268" s="797"/>
      <c r="Z1268" s="797"/>
      <c r="AA1268" s="797"/>
      <c r="AB1268" s="798"/>
      <c r="AC1268" s="740"/>
      <c r="AD1268" s="741"/>
      <c r="AE1268" s="741"/>
      <c r="AF1268" s="757"/>
      <c r="AG1268" s="740"/>
      <c r="AH1268" s="741"/>
      <c r="AI1268" s="741"/>
      <c r="AJ1268" s="757"/>
      <c r="AK1268" s="740"/>
      <c r="AL1268" s="741"/>
      <c r="AM1268" s="741"/>
      <c r="AN1268" s="757"/>
      <c r="AO1268" s="466"/>
      <c r="AP1268" s="467"/>
      <c r="AQ1268" s="467"/>
      <c r="AR1268" s="823"/>
    </row>
    <row r="1269" spans="3:44" ht="18" customHeight="1">
      <c r="C1269" s="758"/>
      <c r="D1269" s="759"/>
      <c r="E1269" s="760"/>
      <c r="F1269" s="796"/>
      <c r="G1269" s="797"/>
      <c r="H1269" s="797"/>
      <c r="I1269" s="797"/>
      <c r="J1269" s="797"/>
      <c r="K1269" s="797"/>
      <c r="L1269" s="797"/>
      <c r="M1269" s="797"/>
      <c r="N1269" s="797"/>
      <c r="O1269" s="797"/>
      <c r="P1269" s="797"/>
      <c r="Q1269" s="797"/>
      <c r="R1269" s="797"/>
      <c r="S1269" s="797"/>
      <c r="T1269" s="797"/>
      <c r="U1269" s="797"/>
      <c r="V1269" s="797"/>
      <c r="W1269" s="797"/>
      <c r="X1269" s="797"/>
      <c r="Y1269" s="797"/>
      <c r="Z1269" s="797"/>
      <c r="AA1269" s="797"/>
      <c r="AB1269" s="798"/>
      <c r="AC1269" s="740"/>
      <c r="AD1269" s="741"/>
      <c r="AE1269" s="741"/>
      <c r="AF1269" s="757"/>
      <c r="AG1269" s="740"/>
      <c r="AH1269" s="741"/>
      <c r="AI1269" s="741"/>
      <c r="AJ1269" s="757"/>
      <c r="AK1269" s="740"/>
      <c r="AL1269" s="741"/>
      <c r="AM1269" s="741"/>
      <c r="AN1269" s="757"/>
      <c r="AO1269" s="466"/>
      <c r="AP1269" s="467"/>
      <c r="AQ1269" s="467"/>
      <c r="AR1269" s="823"/>
    </row>
    <row r="1270" spans="3:44" ht="18" customHeight="1">
      <c r="C1270" s="814"/>
      <c r="D1270" s="815"/>
      <c r="E1270" s="815"/>
      <c r="F1270" s="815"/>
      <c r="G1270" s="815"/>
      <c r="H1270" s="815"/>
      <c r="I1270" s="815"/>
      <c r="J1270" s="815"/>
      <c r="K1270" s="815"/>
      <c r="L1270" s="815"/>
      <c r="M1270" s="815"/>
      <c r="N1270" s="815"/>
      <c r="O1270" s="815"/>
      <c r="P1270" s="815"/>
      <c r="Q1270" s="815"/>
      <c r="R1270" s="815"/>
      <c r="S1270" s="815"/>
      <c r="T1270" s="815"/>
      <c r="U1270" s="815"/>
      <c r="V1270" s="815"/>
      <c r="W1270" s="815"/>
      <c r="X1270" s="815"/>
      <c r="Y1270" s="816" t="s">
        <v>78</v>
      </c>
      <c r="Z1270" s="816"/>
      <c r="AA1270" s="816"/>
      <c r="AB1270" s="816"/>
      <c r="AC1270" s="816"/>
      <c r="AD1270" s="816"/>
      <c r="AE1270" s="816"/>
      <c r="AF1270" s="483"/>
      <c r="AG1270" s="817" t="s">
        <v>413</v>
      </c>
      <c r="AH1270" s="818"/>
      <c r="AI1270" s="818"/>
      <c r="AJ1270" s="819"/>
      <c r="AK1270" s="466">
        <f>SUM(AO1262:AR1269)</f>
        <v>149.4</v>
      </c>
      <c r="AL1270" s="467"/>
      <c r="AM1270" s="467"/>
      <c r="AN1270" s="468"/>
      <c r="AO1270" s="820">
        <f>ROUND(AG1270*AK1270,2)</f>
        <v>23.17</v>
      </c>
      <c r="AP1270" s="821"/>
      <c r="AQ1270" s="821"/>
      <c r="AR1270" s="822"/>
    </row>
    <row r="1271" spans="3:44" ht="18" customHeight="1">
      <c r="C1271" s="743"/>
      <c r="D1271" s="744"/>
      <c r="E1271" s="744"/>
      <c r="F1271" s="744"/>
      <c r="G1271" s="744"/>
      <c r="H1271" s="744"/>
      <c r="I1271" s="744"/>
      <c r="J1271" s="744"/>
      <c r="K1271" s="744"/>
      <c r="L1271" s="744"/>
      <c r="M1271" s="744"/>
      <c r="N1271" s="744"/>
      <c r="O1271" s="744"/>
      <c r="P1271" s="744"/>
      <c r="Q1271" s="744"/>
      <c r="R1271" s="744"/>
      <c r="S1271" s="744"/>
      <c r="T1271" s="744"/>
      <c r="U1271" s="744"/>
      <c r="V1271" s="744"/>
      <c r="W1271" s="744"/>
      <c r="X1271" s="744"/>
      <c r="Y1271" s="745" t="s">
        <v>79</v>
      </c>
      <c r="Z1271" s="745"/>
      <c r="AA1271" s="745"/>
      <c r="AB1271" s="745"/>
      <c r="AC1271" s="745"/>
      <c r="AD1271" s="745"/>
      <c r="AE1271" s="745"/>
      <c r="AF1271" s="745"/>
      <c r="AG1271" s="745"/>
      <c r="AH1271" s="745"/>
      <c r="AI1271" s="745"/>
      <c r="AJ1271" s="745"/>
      <c r="AK1271" s="745"/>
      <c r="AL1271" s="745"/>
      <c r="AM1271" s="745"/>
      <c r="AN1271" s="430"/>
      <c r="AO1271" s="477">
        <f>SUM(AO1262:AR1270)</f>
        <v>172.57</v>
      </c>
      <c r="AP1271" s="746"/>
      <c r="AQ1271" s="746"/>
      <c r="AR1271" s="747"/>
    </row>
    <row r="1273" spans="3:44" ht="18" customHeight="1">
      <c r="C1273" s="802"/>
      <c r="D1273" s="803"/>
      <c r="E1273" s="803"/>
      <c r="F1273" s="803"/>
      <c r="G1273" s="803"/>
      <c r="H1273" s="803"/>
      <c r="I1273" s="803"/>
      <c r="J1273" s="803"/>
      <c r="K1273" s="803"/>
      <c r="L1273" s="803"/>
      <c r="M1273" s="803"/>
      <c r="N1273" s="803"/>
      <c r="O1273" s="803"/>
      <c r="P1273" s="803"/>
      <c r="Q1273" s="803"/>
      <c r="R1273" s="803"/>
      <c r="S1273" s="803"/>
      <c r="T1273" s="803"/>
      <c r="U1273" s="803"/>
      <c r="V1273" s="803"/>
      <c r="W1273" s="803"/>
      <c r="X1273" s="803"/>
      <c r="Y1273" s="804" t="s">
        <v>80</v>
      </c>
      <c r="Z1273" s="805"/>
      <c r="AA1273" s="805"/>
      <c r="AB1273" s="805"/>
      <c r="AC1273" s="805"/>
      <c r="AD1273" s="805"/>
      <c r="AE1273" s="805"/>
      <c r="AF1273" s="805"/>
      <c r="AG1273" s="805"/>
      <c r="AH1273" s="805"/>
      <c r="AI1273" s="805"/>
      <c r="AJ1273" s="805"/>
      <c r="AK1273" s="805"/>
      <c r="AL1273" s="805"/>
      <c r="AM1273" s="805"/>
      <c r="AN1273" s="806"/>
      <c r="AO1273" s="807">
        <f>AO1258+AO1271</f>
        <v>193.2</v>
      </c>
      <c r="AP1273" s="808"/>
      <c r="AQ1273" s="808"/>
      <c r="AR1273" s="809"/>
    </row>
    <row r="1274" spans="3:44" ht="18" customHeight="1">
      <c r="C1274" s="810" t="s">
        <v>81</v>
      </c>
      <c r="D1274" s="745"/>
      <c r="E1274" s="745"/>
      <c r="F1274" s="745"/>
      <c r="G1274" s="745"/>
      <c r="H1274" s="745"/>
      <c r="I1274" s="745"/>
      <c r="J1274" s="745"/>
      <c r="K1274" s="745"/>
      <c r="L1274" s="745"/>
      <c r="M1274" s="745"/>
      <c r="N1274" s="745"/>
      <c r="O1274" s="745"/>
      <c r="P1274" s="430"/>
      <c r="Q1274" s="477">
        <v>1</v>
      </c>
      <c r="R1274" s="746"/>
      <c r="S1274" s="746"/>
      <c r="T1274" s="746"/>
      <c r="U1274" s="746"/>
      <c r="V1274" s="745" t="s">
        <v>194</v>
      </c>
      <c r="W1274" s="745"/>
      <c r="X1274" s="430"/>
      <c r="Y1274" s="804" t="s">
        <v>82</v>
      </c>
      <c r="Z1274" s="805"/>
      <c r="AA1274" s="805"/>
      <c r="AB1274" s="805"/>
      <c r="AC1274" s="805"/>
      <c r="AD1274" s="805"/>
      <c r="AE1274" s="805"/>
      <c r="AF1274" s="805"/>
      <c r="AG1274" s="805"/>
      <c r="AH1274" s="805"/>
      <c r="AI1274" s="805"/>
      <c r="AJ1274" s="805"/>
      <c r="AK1274" s="805"/>
      <c r="AL1274" s="805"/>
      <c r="AM1274" s="805"/>
      <c r="AN1274" s="806"/>
      <c r="AO1274" s="811">
        <f>ROUND(AO1273/Q1274,2)</f>
        <v>193.2</v>
      </c>
      <c r="AP1274" s="812"/>
      <c r="AQ1274" s="812"/>
      <c r="AR1274" s="813"/>
    </row>
    <row r="1276" spans="3:44" ht="18" customHeight="1">
      <c r="C1276" s="794" t="s">
        <v>43</v>
      </c>
      <c r="D1276" s="774"/>
      <c r="E1276" s="775"/>
      <c r="F1276" s="773" t="s">
        <v>83</v>
      </c>
      <c r="G1276" s="774"/>
      <c r="H1276" s="774"/>
      <c r="I1276" s="774"/>
      <c r="J1276" s="774"/>
      <c r="K1276" s="774"/>
      <c r="L1276" s="774"/>
      <c r="M1276" s="774"/>
      <c r="N1276" s="774"/>
      <c r="O1276" s="774"/>
      <c r="P1276" s="774"/>
      <c r="Q1276" s="774"/>
      <c r="R1276" s="774"/>
      <c r="S1276" s="774"/>
      <c r="T1276" s="774"/>
      <c r="U1276" s="774"/>
      <c r="V1276" s="774"/>
      <c r="W1276" s="774"/>
      <c r="X1276" s="774"/>
      <c r="Y1276" s="774"/>
      <c r="Z1276" s="774"/>
      <c r="AA1276" s="774"/>
      <c r="AB1276" s="775"/>
      <c r="AC1276" s="773" t="s">
        <v>84</v>
      </c>
      <c r="AD1276" s="774"/>
      <c r="AE1276" s="774"/>
      <c r="AF1276" s="775"/>
      <c r="AG1276" s="773" t="s">
        <v>85</v>
      </c>
      <c r="AH1276" s="774"/>
      <c r="AI1276" s="774"/>
      <c r="AJ1276" s="775"/>
      <c r="AK1276" s="773" t="s">
        <v>86</v>
      </c>
      <c r="AL1276" s="774"/>
      <c r="AM1276" s="774"/>
      <c r="AN1276" s="775"/>
      <c r="AO1276" s="773" t="s">
        <v>87</v>
      </c>
      <c r="AP1276" s="774"/>
      <c r="AQ1276" s="774"/>
      <c r="AR1276" s="779"/>
    </row>
    <row r="1277" spans="3:44" ht="18" customHeight="1">
      <c r="C1277" s="795"/>
      <c r="D1277" s="777"/>
      <c r="E1277" s="778"/>
      <c r="F1277" s="776"/>
      <c r="G1277" s="777"/>
      <c r="H1277" s="777"/>
      <c r="I1277" s="777"/>
      <c r="J1277" s="777"/>
      <c r="K1277" s="777"/>
      <c r="L1277" s="777"/>
      <c r="M1277" s="777"/>
      <c r="N1277" s="777"/>
      <c r="O1277" s="777"/>
      <c r="P1277" s="777"/>
      <c r="Q1277" s="777"/>
      <c r="R1277" s="777"/>
      <c r="S1277" s="777"/>
      <c r="T1277" s="777"/>
      <c r="U1277" s="777"/>
      <c r="V1277" s="777"/>
      <c r="W1277" s="777"/>
      <c r="X1277" s="777"/>
      <c r="Y1277" s="777"/>
      <c r="Z1277" s="777"/>
      <c r="AA1277" s="777"/>
      <c r="AB1277" s="778"/>
      <c r="AC1277" s="776"/>
      <c r="AD1277" s="777"/>
      <c r="AE1277" s="777"/>
      <c r="AF1277" s="778"/>
      <c r="AG1277" s="776"/>
      <c r="AH1277" s="777"/>
      <c r="AI1277" s="777"/>
      <c r="AJ1277" s="778"/>
      <c r="AK1277" s="776"/>
      <c r="AL1277" s="777"/>
      <c r="AM1277" s="777"/>
      <c r="AN1277" s="778"/>
      <c r="AO1277" s="776"/>
      <c r="AP1277" s="777"/>
      <c r="AQ1277" s="777"/>
      <c r="AR1277" s="780"/>
    </row>
    <row r="1278" spans="3:44" ht="18" customHeight="1">
      <c r="C1278" s="758" t="s">
        <v>1377</v>
      </c>
      <c r="D1278" s="759"/>
      <c r="E1278" s="760"/>
      <c r="F1278" s="796" t="s">
        <v>417</v>
      </c>
      <c r="G1278" s="797"/>
      <c r="H1278" s="797"/>
      <c r="I1278" s="797"/>
      <c r="J1278" s="797"/>
      <c r="K1278" s="797"/>
      <c r="L1278" s="797"/>
      <c r="M1278" s="797"/>
      <c r="N1278" s="797"/>
      <c r="O1278" s="797"/>
      <c r="P1278" s="797"/>
      <c r="Q1278" s="797"/>
      <c r="R1278" s="797"/>
      <c r="S1278" s="797"/>
      <c r="T1278" s="797"/>
      <c r="U1278" s="797"/>
      <c r="V1278" s="797"/>
      <c r="W1278" s="797"/>
      <c r="X1278" s="797"/>
      <c r="Y1278" s="797"/>
      <c r="Z1278" s="797"/>
      <c r="AA1278" s="797"/>
      <c r="AB1278" s="798"/>
      <c r="AC1278" s="799" t="s">
        <v>245</v>
      </c>
      <c r="AD1278" s="800"/>
      <c r="AE1278" s="800"/>
      <c r="AF1278" s="801"/>
      <c r="AG1278" s="466">
        <f>TRUNC(373.21/1.2031,2)</f>
        <v>310.2</v>
      </c>
      <c r="AH1278" s="467"/>
      <c r="AI1278" s="467"/>
      <c r="AJ1278" s="468"/>
      <c r="AK1278" s="737">
        <v>4</v>
      </c>
      <c r="AL1278" s="738"/>
      <c r="AM1278" s="738"/>
      <c r="AN1278" s="739"/>
      <c r="AO1278" s="740">
        <f>ROUND(AG1278*AK1278,2)</f>
        <v>1240.8</v>
      </c>
      <c r="AP1278" s="741"/>
      <c r="AQ1278" s="741"/>
      <c r="AR1278" s="742"/>
    </row>
    <row r="1279" spans="3:44" ht="18" customHeight="1">
      <c r="C1279" s="758" t="s">
        <v>1376</v>
      </c>
      <c r="D1279" s="759"/>
      <c r="E1279" s="760"/>
      <c r="F1279" s="796" t="s">
        <v>370</v>
      </c>
      <c r="G1279" s="797"/>
      <c r="H1279" s="797"/>
      <c r="I1279" s="797"/>
      <c r="J1279" s="797"/>
      <c r="K1279" s="797"/>
      <c r="L1279" s="797"/>
      <c r="M1279" s="797"/>
      <c r="N1279" s="797"/>
      <c r="O1279" s="797"/>
      <c r="P1279" s="797"/>
      <c r="Q1279" s="797"/>
      <c r="R1279" s="797"/>
      <c r="S1279" s="797"/>
      <c r="T1279" s="797"/>
      <c r="U1279" s="797"/>
      <c r="V1279" s="797"/>
      <c r="W1279" s="797"/>
      <c r="X1279" s="797"/>
      <c r="Y1279" s="797"/>
      <c r="Z1279" s="797"/>
      <c r="AA1279" s="797"/>
      <c r="AB1279" s="798"/>
      <c r="AC1279" s="799" t="s">
        <v>309</v>
      </c>
      <c r="AD1279" s="800"/>
      <c r="AE1279" s="800"/>
      <c r="AF1279" s="801"/>
      <c r="AG1279" s="466">
        <f>TRUNC(43.8/1.2031,2)</f>
        <v>36.4</v>
      </c>
      <c r="AH1279" s="467"/>
      <c r="AI1279" s="467"/>
      <c r="AJ1279" s="468"/>
      <c r="AK1279" s="737">
        <v>13</v>
      </c>
      <c r="AL1279" s="738"/>
      <c r="AM1279" s="738"/>
      <c r="AN1279" s="739"/>
      <c r="AO1279" s="740">
        <f>ROUND(AG1279*AK1279,2)</f>
        <v>473.2</v>
      </c>
      <c r="AP1279" s="741"/>
      <c r="AQ1279" s="741"/>
      <c r="AR1279" s="742"/>
    </row>
    <row r="1280" spans="3:44" ht="18" customHeight="1">
      <c r="C1280" s="758"/>
      <c r="D1280" s="759"/>
      <c r="E1280" s="760"/>
      <c r="F1280" s="796"/>
      <c r="G1280" s="797"/>
      <c r="H1280" s="797"/>
      <c r="I1280" s="797"/>
      <c r="J1280" s="797"/>
      <c r="K1280" s="797"/>
      <c r="L1280" s="797"/>
      <c r="M1280" s="797"/>
      <c r="N1280" s="797"/>
      <c r="O1280" s="797"/>
      <c r="P1280" s="797"/>
      <c r="Q1280" s="797"/>
      <c r="R1280" s="797"/>
      <c r="S1280" s="797"/>
      <c r="T1280" s="797"/>
      <c r="U1280" s="797"/>
      <c r="V1280" s="797"/>
      <c r="W1280" s="797"/>
      <c r="X1280" s="797"/>
      <c r="Y1280" s="797"/>
      <c r="Z1280" s="797"/>
      <c r="AA1280" s="797"/>
      <c r="AB1280" s="798"/>
      <c r="AC1280" s="799"/>
      <c r="AD1280" s="800"/>
      <c r="AE1280" s="800"/>
      <c r="AF1280" s="801"/>
      <c r="AG1280" s="466"/>
      <c r="AH1280" s="467"/>
      <c r="AI1280" s="467"/>
      <c r="AJ1280" s="468"/>
      <c r="AK1280" s="737"/>
      <c r="AL1280" s="738"/>
      <c r="AM1280" s="738"/>
      <c r="AN1280" s="739"/>
      <c r="AO1280" s="740"/>
      <c r="AP1280" s="741"/>
      <c r="AQ1280" s="741"/>
      <c r="AR1280" s="742"/>
    </row>
    <row r="1281" spans="3:44" ht="18" customHeight="1">
      <c r="C1281" s="758"/>
      <c r="D1281" s="759"/>
      <c r="E1281" s="760"/>
      <c r="F1281" s="796"/>
      <c r="G1281" s="797"/>
      <c r="H1281" s="797"/>
      <c r="I1281" s="797"/>
      <c r="J1281" s="797"/>
      <c r="K1281" s="797"/>
      <c r="L1281" s="797"/>
      <c r="M1281" s="797"/>
      <c r="N1281" s="797"/>
      <c r="O1281" s="797"/>
      <c r="P1281" s="797"/>
      <c r="Q1281" s="797"/>
      <c r="R1281" s="797"/>
      <c r="S1281" s="797"/>
      <c r="T1281" s="797"/>
      <c r="U1281" s="797"/>
      <c r="V1281" s="797"/>
      <c r="W1281" s="797"/>
      <c r="X1281" s="797"/>
      <c r="Y1281" s="797"/>
      <c r="Z1281" s="797"/>
      <c r="AA1281" s="797"/>
      <c r="AB1281" s="798"/>
      <c r="AC1281" s="799"/>
      <c r="AD1281" s="800"/>
      <c r="AE1281" s="800"/>
      <c r="AF1281" s="801"/>
      <c r="AG1281" s="466"/>
      <c r="AH1281" s="467"/>
      <c r="AI1281" s="467"/>
      <c r="AJ1281" s="468"/>
      <c r="AK1281" s="737"/>
      <c r="AL1281" s="738"/>
      <c r="AM1281" s="738"/>
      <c r="AN1281" s="739"/>
      <c r="AO1281" s="740"/>
      <c r="AP1281" s="741"/>
      <c r="AQ1281" s="741"/>
      <c r="AR1281" s="742"/>
    </row>
    <row r="1282" spans="3:44" ht="18" customHeight="1">
      <c r="C1282" s="758"/>
      <c r="D1282" s="759"/>
      <c r="E1282" s="760"/>
      <c r="F1282" s="796"/>
      <c r="G1282" s="797"/>
      <c r="H1282" s="797"/>
      <c r="I1282" s="797"/>
      <c r="J1282" s="797"/>
      <c r="K1282" s="797"/>
      <c r="L1282" s="797"/>
      <c r="M1282" s="797"/>
      <c r="N1282" s="797"/>
      <c r="O1282" s="797"/>
      <c r="P1282" s="797"/>
      <c r="Q1282" s="797"/>
      <c r="R1282" s="797"/>
      <c r="S1282" s="797"/>
      <c r="T1282" s="797"/>
      <c r="U1282" s="797"/>
      <c r="V1282" s="797"/>
      <c r="W1282" s="797"/>
      <c r="X1282" s="797"/>
      <c r="Y1282" s="797"/>
      <c r="Z1282" s="797"/>
      <c r="AA1282" s="797"/>
      <c r="AB1282" s="798"/>
      <c r="AC1282" s="799"/>
      <c r="AD1282" s="800"/>
      <c r="AE1282" s="800"/>
      <c r="AF1282" s="801"/>
      <c r="AG1282" s="466"/>
      <c r="AH1282" s="467"/>
      <c r="AI1282" s="467"/>
      <c r="AJ1282" s="468"/>
      <c r="AK1282" s="737"/>
      <c r="AL1282" s="738"/>
      <c r="AM1282" s="738"/>
      <c r="AN1282" s="739"/>
      <c r="AO1282" s="740"/>
      <c r="AP1282" s="741"/>
      <c r="AQ1282" s="741"/>
      <c r="AR1282" s="742"/>
    </row>
    <row r="1283" spans="3:44" ht="18" customHeight="1">
      <c r="C1283" s="758"/>
      <c r="D1283" s="759"/>
      <c r="E1283" s="760"/>
      <c r="F1283" s="796"/>
      <c r="G1283" s="797"/>
      <c r="H1283" s="797"/>
      <c r="I1283" s="797"/>
      <c r="J1283" s="797"/>
      <c r="K1283" s="797"/>
      <c r="L1283" s="797"/>
      <c r="M1283" s="797"/>
      <c r="N1283" s="797"/>
      <c r="O1283" s="797"/>
      <c r="P1283" s="797"/>
      <c r="Q1283" s="797"/>
      <c r="R1283" s="797"/>
      <c r="S1283" s="797"/>
      <c r="T1283" s="797"/>
      <c r="U1283" s="797"/>
      <c r="V1283" s="797"/>
      <c r="W1283" s="797"/>
      <c r="X1283" s="797"/>
      <c r="Y1283" s="797"/>
      <c r="Z1283" s="797"/>
      <c r="AA1283" s="797"/>
      <c r="AB1283" s="798"/>
      <c r="AC1283" s="799"/>
      <c r="AD1283" s="800"/>
      <c r="AE1283" s="800"/>
      <c r="AF1283" s="801"/>
      <c r="AG1283" s="466"/>
      <c r="AH1283" s="467"/>
      <c r="AI1283" s="467"/>
      <c r="AJ1283" s="468"/>
      <c r="AK1283" s="737"/>
      <c r="AL1283" s="738"/>
      <c r="AM1283" s="738"/>
      <c r="AN1283" s="739"/>
      <c r="AO1283" s="740"/>
      <c r="AP1283" s="741"/>
      <c r="AQ1283" s="741"/>
      <c r="AR1283" s="742"/>
    </row>
    <row r="1284" spans="3:44" ht="18" customHeight="1">
      <c r="C1284" s="758"/>
      <c r="D1284" s="759"/>
      <c r="E1284" s="760"/>
      <c r="F1284" s="796"/>
      <c r="G1284" s="797"/>
      <c r="H1284" s="797"/>
      <c r="I1284" s="797"/>
      <c r="J1284" s="797"/>
      <c r="K1284" s="797"/>
      <c r="L1284" s="797"/>
      <c r="M1284" s="797"/>
      <c r="N1284" s="797"/>
      <c r="O1284" s="797"/>
      <c r="P1284" s="797"/>
      <c r="Q1284" s="797"/>
      <c r="R1284" s="797"/>
      <c r="S1284" s="797"/>
      <c r="T1284" s="797"/>
      <c r="U1284" s="797"/>
      <c r="V1284" s="797"/>
      <c r="W1284" s="797"/>
      <c r="X1284" s="797"/>
      <c r="Y1284" s="797"/>
      <c r="Z1284" s="797"/>
      <c r="AA1284" s="797"/>
      <c r="AB1284" s="798"/>
      <c r="AC1284" s="799"/>
      <c r="AD1284" s="800"/>
      <c r="AE1284" s="800"/>
      <c r="AF1284" s="801"/>
      <c r="AG1284" s="466"/>
      <c r="AH1284" s="467"/>
      <c r="AI1284" s="467"/>
      <c r="AJ1284" s="468"/>
      <c r="AK1284" s="737"/>
      <c r="AL1284" s="738"/>
      <c r="AM1284" s="738"/>
      <c r="AN1284" s="739"/>
      <c r="AO1284" s="740"/>
      <c r="AP1284" s="741"/>
      <c r="AQ1284" s="741"/>
      <c r="AR1284" s="742"/>
    </row>
    <row r="1285" spans="3:44" ht="18" customHeight="1">
      <c r="C1285" s="758"/>
      <c r="D1285" s="759"/>
      <c r="E1285" s="760"/>
      <c r="F1285" s="796"/>
      <c r="G1285" s="797"/>
      <c r="H1285" s="797"/>
      <c r="I1285" s="797"/>
      <c r="J1285" s="797"/>
      <c r="K1285" s="797"/>
      <c r="L1285" s="797"/>
      <c r="M1285" s="797"/>
      <c r="N1285" s="797"/>
      <c r="O1285" s="797"/>
      <c r="P1285" s="797"/>
      <c r="Q1285" s="797"/>
      <c r="R1285" s="797"/>
      <c r="S1285" s="797"/>
      <c r="T1285" s="797"/>
      <c r="U1285" s="797"/>
      <c r="V1285" s="797"/>
      <c r="W1285" s="797"/>
      <c r="X1285" s="797"/>
      <c r="Y1285" s="797"/>
      <c r="Z1285" s="797"/>
      <c r="AA1285" s="797"/>
      <c r="AB1285" s="798"/>
      <c r="AC1285" s="799"/>
      <c r="AD1285" s="800"/>
      <c r="AE1285" s="800"/>
      <c r="AF1285" s="801"/>
      <c r="AG1285" s="466"/>
      <c r="AH1285" s="467"/>
      <c r="AI1285" s="467"/>
      <c r="AJ1285" s="468"/>
      <c r="AK1285" s="737"/>
      <c r="AL1285" s="738"/>
      <c r="AM1285" s="738"/>
      <c r="AN1285" s="739"/>
      <c r="AO1285" s="740"/>
      <c r="AP1285" s="741"/>
      <c r="AQ1285" s="741"/>
      <c r="AR1285" s="742"/>
    </row>
    <row r="1286" spans="3:44" ht="18" customHeight="1">
      <c r="C1286" s="743"/>
      <c r="D1286" s="744"/>
      <c r="E1286" s="744"/>
      <c r="F1286" s="744"/>
      <c r="G1286" s="744"/>
      <c r="H1286" s="744"/>
      <c r="I1286" s="744"/>
      <c r="J1286" s="744"/>
      <c r="K1286" s="744"/>
      <c r="L1286" s="744"/>
      <c r="M1286" s="744"/>
      <c r="N1286" s="744"/>
      <c r="O1286" s="744"/>
      <c r="P1286" s="744"/>
      <c r="Q1286" s="744"/>
      <c r="R1286" s="744"/>
      <c r="S1286" s="744"/>
      <c r="T1286" s="744"/>
      <c r="U1286" s="744"/>
      <c r="V1286" s="744"/>
      <c r="W1286" s="744"/>
      <c r="X1286" s="744"/>
      <c r="Y1286" s="745" t="s">
        <v>88</v>
      </c>
      <c r="Z1286" s="745"/>
      <c r="AA1286" s="745"/>
      <c r="AB1286" s="745"/>
      <c r="AC1286" s="745"/>
      <c r="AD1286" s="745"/>
      <c r="AE1286" s="745"/>
      <c r="AF1286" s="745"/>
      <c r="AG1286" s="745"/>
      <c r="AH1286" s="745"/>
      <c r="AI1286" s="745"/>
      <c r="AJ1286" s="745"/>
      <c r="AK1286" s="745"/>
      <c r="AL1286" s="745"/>
      <c r="AM1286" s="745"/>
      <c r="AN1286" s="430"/>
      <c r="AO1286" s="477">
        <f>SUM(AO1278:AR1285)</f>
        <v>1714</v>
      </c>
      <c r="AP1286" s="746"/>
      <c r="AQ1286" s="746"/>
      <c r="AR1286" s="747"/>
    </row>
    <row r="1288" spans="3:44" ht="18" customHeight="1">
      <c r="C1288" s="794" t="s">
        <v>43</v>
      </c>
      <c r="D1288" s="774"/>
      <c r="E1288" s="775"/>
      <c r="F1288" s="773" t="s">
        <v>89</v>
      </c>
      <c r="G1288" s="774"/>
      <c r="H1288" s="774"/>
      <c r="I1288" s="774"/>
      <c r="J1288" s="774"/>
      <c r="K1288" s="774"/>
      <c r="L1288" s="774"/>
      <c r="M1288" s="774"/>
      <c r="N1288" s="774"/>
      <c r="O1288" s="774"/>
      <c r="P1288" s="774"/>
      <c r="Q1288" s="774"/>
      <c r="R1288" s="775"/>
      <c r="S1288" s="773" t="s">
        <v>90</v>
      </c>
      <c r="T1288" s="774"/>
      <c r="U1288" s="775"/>
      <c r="V1288" s="773" t="s">
        <v>91</v>
      </c>
      <c r="W1288" s="774"/>
      <c r="X1288" s="775"/>
      <c r="Y1288" s="773" t="s">
        <v>92</v>
      </c>
      <c r="Z1288" s="774"/>
      <c r="AA1288" s="774"/>
      <c r="AB1288" s="774"/>
      <c r="AC1288" s="774"/>
      <c r="AD1288" s="775"/>
      <c r="AE1288" s="773" t="s">
        <v>93</v>
      </c>
      <c r="AF1288" s="774"/>
      <c r="AG1288" s="775"/>
      <c r="AH1288" s="773" t="s">
        <v>94</v>
      </c>
      <c r="AI1288" s="774"/>
      <c r="AJ1288" s="775"/>
      <c r="AK1288" s="773" t="s">
        <v>86</v>
      </c>
      <c r="AL1288" s="774"/>
      <c r="AM1288" s="774"/>
      <c r="AN1288" s="775"/>
      <c r="AO1288" s="773" t="s">
        <v>87</v>
      </c>
      <c r="AP1288" s="774"/>
      <c r="AQ1288" s="774"/>
      <c r="AR1288" s="779"/>
    </row>
    <row r="1289" spans="3:44" ht="18" customHeight="1">
      <c r="C1289" s="795"/>
      <c r="D1289" s="777"/>
      <c r="E1289" s="778"/>
      <c r="F1289" s="776"/>
      <c r="G1289" s="777"/>
      <c r="H1289" s="777"/>
      <c r="I1289" s="777"/>
      <c r="J1289" s="777"/>
      <c r="K1289" s="777"/>
      <c r="L1289" s="777"/>
      <c r="M1289" s="777"/>
      <c r="N1289" s="777"/>
      <c r="O1289" s="777"/>
      <c r="P1289" s="777"/>
      <c r="Q1289" s="777"/>
      <c r="R1289" s="778"/>
      <c r="S1289" s="776"/>
      <c r="T1289" s="777"/>
      <c r="U1289" s="778"/>
      <c r="V1289" s="776"/>
      <c r="W1289" s="777"/>
      <c r="X1289" s="778"/>
      <c r="Y1289" s="776"/>
      <c r="Z1289" s="777"/>
      <c r="AA1289" s="777"/>
      <c r="AB1289" s="777"/>
      <c r="AC1289" s="777"/>
      <c r="AD1289" s="778"/>
      <c r="AE1289" s="776"/>
      <c r="AF1289" s="777"/>
      <c r="AG1289" s="778"/>
      <c r="AH1289" s="776"/>
      <c r="AI1289" s="777"/>
      <c r="AJ1289" s="778"/>
      <c r="AK1289" s="776"/>
      <c r="AL1289" s="777"/>
      <c r="AM1289" s="777"/>
      <c r="AN1289" s="778"/>
      <c r="AO1289" s="776"/>
      <c r="AP1289" s="777"/>
      <c r="AQ1289" s="777"/>
      <c r="AR1289" s="780"/>
    </row>
    <row r="1290" spans="3:44" ht="18" customHeight="1">
      <c r="C1290" s="781"/>
      <c r="D1290" s="782"/>
      <c r="E1290" s="783"/>
      <c r="F1290" s="457"/>
      <c r="G1290" s="457"/>
      <c r="H1290" s="457"/>
      <c r="I1290" s="457"/>
      <c r="J1290" s="457"/>
      <c r="K1290" s="457"/>
      <c r="L1290" s="457"/>
      <c r="M1290" s="457"/>
      <c r="N1290" s="457"/>
      <c r="O1290" s="457"/>
      <c r="P1290" s="457"/>
      <c r="Q1290" s="457"/>
      <c r="R1290" s="457"/>
      <c r="S1290" s="784"/>
      <c r="T1290" s="785"/>
      <c r="U1290" s="786"/>
      <c r="V1290" s="784"/>
      <c r="W1290" s="785"/>
      <c r="X1290" s="786"/>
      <c r="Y1290" s="787"/>
      <c r="Z1290" s="788"/>
      <c r="AA1290" s="788"/>
      <c r="AB1290" s="788"/>
      <c r="AC1290" s="788"/>
      <c r="AD1290" s="789"/>
      <c r="AE1290" s="449"/>
      <c r="AF1290" s="449"/>
      <c r="AG1290" s="449"/>
      <c r="AH1290" s="770"/>
      <c r="AI1290" s="771"/>
      <c r="AJ1290" s="790"/>
      <c r="AK1290" s="791"/>
      <c r="AL1290" s="792"/>
      <c r="AM1290" s="792"/>
      <c r="AN1290" s="793"/>
      <c r="AO1290" s="770"/>
      <c r="AP1290" s="771"/>
      <c r="AQ1290" s="771"/>
      <c r="AR1290" s="772"/>
    </row>
    <row r="1291" spans="3:44" ht="18" customHeight="1">
      <c r="C1291" s="758"/>
      <c r="D1291" s="759"/>
      <c r="E1291" s="760"/>
      <c r="F1291" s="761"/>
      <c r="G1291" s="762"/>
      <c r="H1291" s="762"/>
      <c r="I1291" s="762"/>
      <c r="J1291" s="762"/>
      <c r="K1291" s="762"/>
      <c r="L1291" s="762"/>
      <c r="M1291" s="762"/>
      <c r="N1291" s="762"/>
      <c r="O1291" s="762"/>
      <c r="P1291" s="762"/>
      <c r="Q1291" s="762"/>
      <c r="R1291" s="763"/>
      <c r="S1291" s="764"/>
      <c r="T1291" s="765"/>
      <c r="U1291" s="766"/>
      <c r="V1291" s="764"/>
      <c r="W1291" s="765"/>
      <c r="X1291" s="766"/>
      <c r="Y1291" s="767"/>
      <c r="Z1291" s="768"/>
      <c r="AA1291" s="768"/>
      <c r="AB1291" s="768"/>
      <c r="AC1291" s="768"/>
      <c r="AD1291" s="769"/>
      <c r="AE1291" s="740"/>
      <c r="AF1291" s="741"/>
      <c r="AG1291" s="757"/>
      <c r="AH1291" s="740"/>
      <c r="AI1291" s="741"/>
      <c r="AJ1291" s="757"/>
      <c r="AK1291" s="737"/>
      <c r="AL1291" s="738"/>
      <c r="AM1291" s="738"/>
      <c r="AN1291" s="739"/>
      <c r="AO1291" s="740">
        <f t="shared" ref="AO1291:AO1297" si="18">ROUND(AE1291*AH1291*AK1291,2)</f>
        <v>0</v>
      </c>
      <c r="AP1291" s="741"/>
      <c r="AQ1291" s="741"/>
      <c r="AR1291" s="742"/>
    </row>
    <row r="1292" spans="3:44" ht="18" customHeight="1">
      <c r="C1292" s="758"/>
      <c r="D1292" s="759"/>
      <c r="E1292" s="760"/>
      <c r="F1292" s="761"/>
      <c r="G1292" s="762"/>
      <c r="H1292" s="762"/>
      <c r="I1292" s="762"/>
      <c r="J1292" s="762"/>
      <c r="K1292" s="762"/>
      <c r="L1292" s="762"/>
      <c r="M1292" s="762"/>
      <c r="N1292" s="762"/>
      <c r="O1292" s="762"/>
      <c r="P1292" s="762"/>
      <c r="Q1292" s="762"/>
      <c r="R1292" s="763"/>
      <c r="S1292" s="764"/>
      <c r="T1292" s="765"/>
      <c r="U1292" s="766"/>
      <c r="V1292" s="764"/>
      <c r="W1292" s="765"/>
      <c r="X1292" s="766"/>
      <c r="Y1292" s="767"/>
      <c r="Z1292" s="768"/>
      <c r="AA1292" s="768"/>
      <c r="AB1292" s="768"/>
      <c r="AC1292" s="768"/>
      <c r="AD1292" s="769"/>
      <c r="AE1292" s="740"/>
      <c r="AF1292" s="741"/>
      <c r="AG1292" s="757"/>
      <c r="AH1292" s="740"/>
      <c r="AI1292" s="741"/>
      <c r="AJ1292" s="757"/>
      <c r="AK1292" s="737"/>
      <c r="AL1292" s="738"/>
      <c r="AM1292" s="738"/>
      <c r="AN1292" s="739"/>
      <c r="AO1292" s="740">
        <f t="shared" si="18"/>
        <v>0</v>
      </c>
      <c r="AP1292" s="741"/>
      <c r="AQ1292" s="741"/>
      <c r="AR1292" s="742"/>
    </row>
    <row r="1293" spans="3:44" ht="18" customHeight="1">
      <c r="C1293" s="758"/>
      <c r="D1293" s="759"/>
      <c r="E1293" s="760"/>
      <c r="F1293" s="761"/>
      <c r="G1293" s="762"/>
      <c r="H1293" s="762"/>
      <c r="I1293" s="762"/>
      <c r="J1293" s="762"/>
      <c r="K1293" s="762"/>
      <c r="L1293" s="762"/>
      <c r="M1293" s="762"/>
      <c r="N1293" s="762"/>
      <c r="O1293" s="762"/>
      <c r="P1293" s="762"/>
      <c r="Q1293" s="762"/>
      <c r="R1293" s="763"/>
      <c r="S1293" s="764"/>
      <c r="T1293" s="765"/>
      <c r="U1293" s="766"/>
      <c r="V1293" s="764"/>
      <c r="W1293" s="765"/>
      <c r="X1293" s="766"/>
      <c r="Y1293" s="767"/>
      <c r="Z1293" s="768"/>
      <c r="AA1293" s="768"/>
      <c r="AB1293" s="768"/>
      <c r="AC1293" s="768"/>
      <c r="AD1293" s="769"/>
      <c r="AE1293" s="740"/>
      <c r="AF1293" s="741"/>
      <c r="AG1293" s="757"/>
      <c r="AH1293" s="740"/>
      <c r="AI1293" s="741"/>
      <c r="AJ1293" s="757"/>
      <c r="AK1293" s="737"/>
      <c r="AL1293" s="738"/>
      <c r="AM1293" s="738"/>
      <c r="AN1293" s="739"/>
      <c r="AO1293" s="740">
        <f t="shared" si="18"/>
        <v>0</v>
      </c>
      <c r="AP1293" s="741"/>
      <c r="AQ1293" s="741"/>
      <c r="AR1293" s="742"/>
    </row>
    <row r="1294" spans="3:44" ht="18" customHeight="1">
      <c r="C1294" s="758"/>
      <c r="D1294" s="759"/>
      <c r="E1294" s="760"/>
      <c r="F1294" s="761"/>
      <c r="G1294" s="762"/>
      <c r="H1294" s="762"/>
      <c r="I1294" s="762"/>
      <c r="J1294" s="762"/>
      <c r="K1294" s="762"/>
      <c r="L1294" s="762"/>
      <c r="M1294" s="762"/>
      <c r="N1294" s="762"/>
      <c r="O1294" s="762"/>
      <c r="P1294" s="762"/>
      <c r="Q1294" s="762"/>
      <c r="R1294" s="763"/>
      <c r="S1294" s="764"/>
      <c r="T1294" s="765"/>
      <c r="U1294" s="766"/>
      <c r="V1294" s="764"/>
      <c r="W1294" s="765"/>
      <c r="X1294" s="766"/>
      <c r="Y1294" s="767"/>
      <c r="Z1294" s="768"/>
      <c r="AA1294" s="768"/>
      <c r="AB1294" s="768"/>
      <c r="AC1294" s="768"/>
      <c r="AD1294" s="769"/>
      <c r="AE1294" s="740"/>
      <c r="AF1294" s="741"/>
      <c r="AG1294" s="757"/>
      <c r="AH1294" s="740"/>
      <c r="AI1294" s="741"/>
      <c r="AJ1294" s="757"/>
      <c r="AK1294" s="737"/>
      <c r="AL1294" s="738"/>
      <c r="AM1294" s="738"/>
      <c r="AN1294" s="739"/>
      <c r="AO1294" s="740">
        <f t="shared" si="18"/>
        <v>0</v>
      </c>
      <c r="AP1294" s="741"/>
      <c r="AQ1294" s="741"/>
      <c r="AR1294" s="742"/>
    </row>
    <row r="1295" spans="3:44" ht="18" customHeight="1">
      <c r="C1295" s="758"/>
      <c r="D1295" s="759"/>
      <c r="E1295" s="760"/>
      <c r="F1295" s="761"/>
      <c r="G1295" s="762"/>
      <c r="H1295" s="762"/>
      <c r="I1295" s="762"/>
      <c r="J1295" s="762"/>
      <c r="K1295" s="762"/>
      <c r="L1295" s="762"/>
      <c r="M1295" s="762"/>
      <c r="N1295" s="762"/>
      <c r="O1295" s="762"/>
      <c r="P1295" s="762"/>
      <c r="Q1295" s="762"/>
      <c r="R1295" s="763"/>
      <c r="S1295" s="764"/>
      <c r="T1295" s="765"/>
      <c r="U1295" s="766"/>
      <c r="V1295" s="764"/>
      <c r="W1295" s="765"/>
      <c r="X1295" s="766"/>
      <c r="Y1295" s="767"/>
      <c r="Z1295" s="768"/>
      <c r="AA1295" s="768"/>
      <c r="AB1295" s="768"/>
      <c r="AC1295" s="768"/>
      <c r="AD1295" s="769"/>
      <c r="AE1295" s="740"/>
      <c r="AF1295" s="741"/>
      <c r="AG1295" s="757"/>
      <c r="AH1295" s="740"/>
      <c r="AI1295" s="741"/>
      <c r="AJ1295" s="757"/>
      <c r="AK1295" s="737"/>
      <c r="AL1295" s="738"/>
      <c r="AM1295" s="738"/>
      <c r="AN1295" s="739"/>
      <c r="AO1295" s="740">
        <f t="shared" si="18"/>
        <v>0</v>
      </c>
      <c r="AP1295" s="741"/>
      <c r="AQ1295" s="741"/>
      <c r="AR1295" s="742"/>
    </row>
    <row r="1296" spans="3:44" ht="18" customHeight="1">
      <c r="C1296" s="758"/>
      <c r="D1296" s="759"/>
      <c r="E1296" s="760"/>
      <c r="F1296" s="761"/>
      <c r="G1296" s="762"/>
      <c r="H1296" s="762"/>
      <c r="I1296" s="762"/>
      <c r="J1296" s="762"/>
      <c r="K1296" s="762"/>
      <c r="L1296" s="762"/>
      <c r="M1296" s="762"/>
      <c r="N1296" s="762"/>
      <c r="O1296" s="762"/>
      <c r="P1296" s="762"/>
      <c r="Q1296" s="762"/>
      <c r="R1296" s="763"/>
      <c r="S1296" s="764"/>
      <c r="T1296" s="765"/>
      <c r="U1296" s="766"/>
      <c r="V1296" s="764"/>
      <c r="W1296" s="765"/>
      <c r="X1296" s="766"/>
      <c r="Y1296" s="767"/>
      <c r="Z1296" s="768"/>
      <c r="AA1296" s="768"/>
      <c r="AB1296" s="768"/>
      <c r="AC1296" s="768"/>
      <c r="AD1296" s="769"/>
      <c r="AE1296" s="740"/>
      <c r="AF1296" s="741"/>
      <c r="AG1296" s="757"/>
      <c r="AH1296" s="740"/>
      <c r="AI1296" s="741"/>
      <c r="AJ1296" s="757"/>
      <c r="AK1296" s="737"/>
      <c r="AL1296" s="738"/>
      <c r="AM1296" s="738"/>
      <c r="AN1296" s="739"/>
      <c r="AO1296" s="740">
        <f t="shared" si="18"/>
        <v>0</v>
      </c>
      <c r="AP1296" s="741"/>
      <c r="AQ1296" s="741"/>
      <c r="AR1296" s="742"/>
    </row>
    <row r="1297" spans="1:44" ht="18" customHeight="1">
      <c r="C1297" s="758"/>
      <c r="D1297" s="759"/>
      <c r="E1297" s="760"/>
      <c r="F1297" s="761"/>
      <c r="G1297" s="762"/>
      <c r="H1297" s="762"/>
      <c r="I1297" s="762"/>
      <c r="J1297" s="762"/>
      <c r="K1297" s="762"/>
      <c r="L1297" s="762"/>
      <c r="M1297" s="762"/>
      <c r="N1297" s="762"/>
      <c r="O1297" s="762"/>
      <c r="P1297" s="762"/>
      <c r="Q1297" s="762"/>
      <c r="R1297" s="763"/>
      <c r="S1297" s="764"/>
      <c r="T1297" s="765"/>
      <c r="U1297" s="766"/>
      <c r="V1297" s="764"/>
      <c r="W1297" s="765"/>
      <c r="X1297" s="766"/>
      <c r="Y1297" s="767"/>
      <c r="Z1297" s="768"/>
      <c r="AA1297" s="768"/>
      <c r="AB1297" s="768"/>
      <c r="AC1297" s="768"/>
      <c r="AD1297" s="769"/>
      <c r="AE1297" s="740"/>
      <c r="AF1297" s="741"/>
      <c r="AG1297" s="757"/>
      <c r="AH1297" s="740"/>
      <c r="AI1297" s="741"/>
      <c r="AJ1297" s="757"/>
      <c r="AK1297" s="737"/>
      <c r="AL1297" s="738"/>
      <c r="AM1297" s="738"/>
      <c r="AN1297" s="739"/>
      <c r="AO1297" s="740">
        <f t="shared" si="18"/>
        <v>0</v>
      </c>
      <c r="AP1297" s="741"/>
      <c r="AQ1297" s="741"/>
      <c r="AR1297" s="742"/>
    </row>
    <row r="1298" spans="1:44" ht="18" customHeight="1">
      <c r="C1298" s="743"/>
      <c r="D1298" s="744"/>
      <c r="E1298" s="744"/>
      <c r="F1298" s="744"/>
      <c r="G1298" s="744"/>
      <c r="H1298" s="744"/>
      <c r="I1298" s="744"/>
      <c r="J1298" s="744"/>
      <c r="K1298" s="744"/>
      <c r="L1298" s="744"/>
      <c r="M1298" s="744"/>
      <c r="N1298" s="744"/>
      <c r="O1298" s="744"/>
      <c r="P1298" s="744"/>
      <c r="Q1298" s="744"/>
      <c r="R1298" s="744"/>
      <c r="S1298" s="744"/>
      <c r="T1298" s="744"/>
      <c r="U1298" s="744"/>
      <c r="V1298" s="744"/>
      <c r="W1298" s="744"/>
      <c r="X1298" s="744"/>
      <c r="Y1298" s="745" t="s">
        <v>95</v>
      </c>
      <c r="Z1298" s="745"/>
      <c r="AA1298" s="745"/>
      <c r="AB1298" s="745"/>
      <c r="AC1298" s="745"/>
      <c r="AD1298" s="745"/>
      <c r="AE1298" s="745"/>
      <c r="AF1298" s="745"/>
      <c r="AG1298" s="745"/>
      <c r="AH1298" s="745"/>
      <c r="AI1298" s="745"/>
      <c r="AJ1298" s="745"/>
      <c r="AK1298" s="745"/>
      <c r="AL1298" s="745"/>
      <c r="AM1298" s="745"/>
      <c r="AN1298" s="430"/>
      <c r="AO1298" s="477">
        <f>SUM(AO1290:AR1297)</f>
        <v>0</v>
      </c>
      <c r="AP1298" s="746"/>
      <c r="AQ1298" s="746"/>
      <c r="AR1298" s="747"/>
    </row>
    <row r="1300" spans="1:44" ht="18" customHeight="1">
      <c r="C1300" s="434"/>
      <c r="D1300" s="434"/>
      <c r="E1300" s="434"/>
      <c r="F1300" s="434"/>
      <c r="G1300" s="434"/>
      <c r="H1300" s="434"/>
      <c r="I1300" s="434"/>
      <c r="J1300" s="434"/>
      <c r="K1300" s="434"/>
      <c r="L1300" s="434"/>
      <c r="M1300" s="434"/>
      <c r="N1300" s="434"/>
      <c r="O1300" s="434"/>
      <c r="P1300" s="434"/>
      <c r="Q1300" s="434"/>
      <c r="R1300" s="434"/>
      <c r="S1300" s="434"/>
      <c r="T1300" s="434"/>
      <c r="U1300" s="434"/>
      <c r="V1300" s="434"/>
      <c r="W1300" s="434"/>
      <c r="X1300" s="748"/>
      <c r="Y1300" s="749" t="s">
        <v>96</v>
      </c>
      <c r="Z1300" s="750"/>
      <c r="AA1300" s="750"/>
      <c r="AB1300" s="750"/>
      <c r="AC1300" s="750"/>
      <c r="AD1300" s="750"/>
      <c r="AE1300" s="750"/>
      <c r="AF1300" s="750"/>
      <c r="AG1300" s="750"/>
      <c r="AH1300" s="750"/>
      <c r="AI1300" s="750"/>
      <c r="AJ1300" s="750"/>
      <c r="AK1300" s="750"/>
      <c r="AL1300" s="750"/>
      <c r="AM1300" s="750"/>
      <c r="AN1300" s="751"/>
      <c r="AO1300" s="752">
        <f>AO1274+AO1286+AO1298</f>
        <v>1907.2</v>
      </c>
      <c r="AP1300" s="753"/>
      <c r="AQ1300" s="753"/>
      <c r="AR1300" s="754"/>
    </row>
    <row r="1301" spans="1:44" ht="18" customHeight="1">
      <c r="C1301" s="434"/>
      <c r="D1301" s="434"/>
      <c r="E1301" s="434"/>
      <c r="F1301" s="434"/>
      <c r="G1301" s="434"/>
      <c r="H1301" s="434"/>
      <c r="I1301" s="434"/>
      <c r="J1301" s="434"/>
      <c r="K1301" s="434"/>
      <c r="L1301" s="434"/>
      <c r="M1301" s="434"/>
      <c r="N1301" s="434"/>
      <c r="O1301" s="434"/>
      <c r="P1301" s="434"/>
      <c r="Q1301" s="434"/>
      <c r="R1301" s="434"/>
      <c r="S1301" s="434"/>
      <c r="T1301" s="434"/>
      <c r="U1301" s="434"/>
      <c r="V1301" s="434"/>
      <c r="W1301" s="434"/>
      <c r="X1301" s="748"/>
      <c r="Y1301" s="755" t="s">
        <v>97</v>
      </c>
      <c r="Z1301" s="756"/>
      <c r="AA1301" s="756"/>
      <c r="AB1301" s="756"/>
      <c r="AC1301" s="756"/>
      <c r="AD1301" s="756"/>
      <c r="AE1301" s="756"/>
      <c r="AF1301" s="756"/>
      <c r="AG1301" s="756"/>
      <c r="AH1301" s="442">
        <v>0.2031</v>
      </c>
      <c r="AI1301" s="442"/>
      <c r="AJ1301" s="442"/>
      <c r="AK1301" s="442"/>
      <c r="AL1301" s="442"/>
      <c r="AM1301" s="442"/>
      <c r="AN1301" s="443"/>
      <c r="AO1301" s="728">
        <f>ROUND(AO1300*AH1301,2)</f>
        <v>387.35</v>
      </c>
      <c r="AP1301" s="729"/>
      <c r="AQ1301" s="729"/>
      <c r="AR1301" s="730"/>
    </row>
    <row r="1302" spans="1:44" ht="18" customHeight="1">
      <c r="A1302" s="415" t="s">
        <v>1579</v>
      </c>
      <c r="B1302" s="415"/>
      <c r="C1302" s="434"/>
      <c r="D1302" s="434"/>
      <c r="E1302" s="434"/>
      <c r="F1302" s="434"/>
      <c r="G1302" s="434"/>
      <c r="H1302" s="434"/>
      <c r="I1302" s="434"/>
      <c r="J1302" s="434"/>
      <c r="K1302" s="434"/>
      <c r="L1302" s="434"/>
      <c r="M1302" s="434"/>
      <c r="N1302" s="434"/>
      <c r="O1302" s="434"/>
      <c r="P1302" s="434"/>
      <c r="Q1302" s="434"/>
      <c r="R1302" s="434"/>
      <c r="S1302" s="434"/>
      <c r="T1302" s="434"/>
      <c r="U1302" s="434"/>
      <c r="V1302" s="434"/>
      <c r="W1302" s="434"/>
      <c r="X1302" s="748"/>
      <c r="Y1302" s="731" t="s">
        <v>98</v>
      </c>
      <c r="Z1302" s="732"/>
      <c r="AA1302" s="732"/>
      <c r="AB1302" s="732"/>
      <c r="AC1302" s="732"/>
      <c r="AD1302" s="732"/>
      <c r="AE1302" s="732"/>
      <c r="AF1302" s="732"/>
      <c r="AG1302" s="732"/>
      <c r="AH1302" s="732"/>
      <c r="AI1302" s="732"/>
      <c r="AJ1302" s="732"/>
      <c r="AK1302" s="732"/>
      <c r="AL1302" s="732"/>
      <c r="AM1302" s="732"/>
      <c r="AN1302" s="733"/>
      <c r="AO1302" s="734">
        <f>SUM(AO1300:AR1301)</f>
        <v>2294.5500000000002</v>
      </c>
      <c r="AP1302" s="735"/>
      <c r="AQ1302" s="735"/>
      <c r="AR1302" s="736"/>
    </row>
    <row r="1304" spans="1:44" ht="18" customHeight="1">
      <c r="C1304" s="420" t="s">
        <v>99</v>
      </c>
      <c r="D1304" s="421"/>
      <c r="E1304" s="421"/>
      <c r="F1304" s="421"/>
      <c r="G1304" s="421"/>
      <c r="H1304" s="421"/>
      <c r="I1304" s="422"/>
      <c r="J1304" s="422"/>
      <c r="K1304" s="422"/>
      <c r="L1304" s="422"/>
      <c r="M1304" s="422"/>
      <c r="N1304" s="422"/>
      <c r="O1304" s="422"/>
      <c r="P1304" s="422"/>
      <c r="Q1304" s="422"/>
      <c r="R1304" s="422"/>
      <c r="S1304" s="422"/>
      <c r="T1304" s="422"/>
      <c r="U1304" s="422"/>
      <c r="V1304" s="422"/>
      <c r="W1304" s="422"/>
      <c r="X1304" s="422"/>
      <c r="Y1304" s="422"/>
      <c r="Z1304" s="422"/>
      <c r="AA1304" s="422"/>
      <c r="AB1304" s="422"/>
      <c r="AC1304" s="422"/>
      <c r="AD1304" s="422"/>
      <c r="AE1304" s="422"/>
      <c r="AF1304" s="422"/>
      <c r="AG1304" s="422"/>
      <c r="AH1304" s="422"/>
      <c r="AI1304" s="422"/>
      <c r="AJ1304" s="422"/>
      <c r="AK1304" s="422"/>
      <c r="AL1304" s="422"/>
      <c r="AM1304" s="422"/>
      <c r="AN1304" s="422"/>
      <c r="AO1304" s="422"/>
      <c r="AP1304" s="422"/>
      <c r="AQ1304" s="422"/>
      <c r="AR1304" s="423"/>
    </row>
    <row r="1305" spans="1:44" ht="18" customHeight="1">
      <c r="C1305" s="411"/>
      <c r="D1305" s="412"/>
      <c r="E1305" s="412"/>
      <c r="F1305" s="412"/>
      <c r="G1305" s="412"/>
      <c r="H1305" s="412"/>
      <c r="I1305" s="409"/>
      <c r="J1305" s="409"/>
      <c r="K1305" s="409"/>
      <c r="L1305" s="409"/>
      <c r="M1305" s="409"/>
      <c r="N1305" s="409"/>
      <c r="O1305" s="409"/>
      <c r="P1305" s="409"/>
      <c r="Q1305" s="409"/>
      <c r="R1305" s="409"/>
      <c r="S1305" s="409"/>
      <c r="T1305" s="409"/>
      <c r="U1305" s="409"/>
      <c r="V1305" s="409"/>
      <c r="W1305" s="409"/>
      <c r="X1305" s="409"/>
      <c r="Y1305" s="409"/>
      <c r="Z1305" s="409"/>
      <c r="AA1305" s="409"/>
      <c r="AB1305" s="409"/>
      <c r="AC1305" s="409"/>
      <c r="AD1305" s="409"/>
      <c r="AE1305" s="409"/>
      <c r="AF1305" s="409"/>
      <c r="AG1305" s="409"/>
      <c r="AH1305" s="409"/>
      <c r="AI1305" s="409"/>
      <c r="AJ1305" s="409"/>
      <c r="AK1305" s="409"/>
      <c r="AL1305" s="409"/>
      <c r="AM1305" s="409"/>
      <c r="AN1305" s="409"/>
      <c r="AO1305" s="409"/>
      <c r="AP1305" s="409"/>
      <c r="AQ1305" s="409"/>
      <c r="AR1305" s="410"/>
    </row>
    <row r="1306" spans="1:44" ht="18" customHeight="1">
      <c r="C1306" s="411"/>
      <c r="D1306" s="412"/>
      <c r="E1306" s="412"/>
      <c r="F1306" s="412"/>
      <c r="G1306" s="412"/>
      <c r="H1306" s="412"/>
      <c r="I1306" s="409"/>
      <c r="J1306" s="409"/>
      <c r="K1306" s="409"/>
      <c r="L1306" s="409"/>
      <c r="M1306" s="409"/>
      <c r="N1306" s="409"/>
      <c r="O1306" s="409"/>
      <c r="P1306" s="409"/>
      <c r="Q1306" s="409"/>
      <c r="R1306" s="409"/>
      <c r="S1306" s="409"/>
      <c r="T1306" s="409"/>
      <c r="U1306" s="409"/>
      <c r="V1306" s="409"/>
      <c r="W1306" s="409"/>
      <c r="X1306" s="409"/>
      <c r="Y1306" s="409"/>
      <c r="Z1306" s="409"/>
      <c r="AA1306" s="409"/>
      <c r="AB1306" s="409"/>
      <c r="AC1306" s="409"/>
      <c r="AD1306" s="409"/>
      <c r="AE1306" s="409"/>
      <c r="AF1306" s="409"/>
      <c r="AG1306" s="409"/>
      <c r="AH1306" s="409"/>
      <c r="AI1306" s="409"/>
      <c r="AJ1306" s="409"/>
      <c r="AK1306" s="409"/>
      <c r="AL1306" s="409"/>
      <c r="AM1306" s="409"/>
      <c r="AN1306" s="409"/>
      <c r="AO1306" s="409"/>
      <c r="AP1306" s="409"/>
      <c r="AQ1306" s="409"/>
      <c r="AR1306" s="410"/>
    </row>
    <row r="1307" spans="1:44" ht="18" customHeight="1">
      <c r="C1307" s="411"/>
      <c r="D1307" s="412"/>
      <c r="E1307" s="412"/>
      <c r="F1307" s="412"/>
      <c r="G1307" s="412"/>
      <c r="H1307" s="412"/>
      <c r="I1307" s="409"/>
      <c r="J1307" s="409"/>
      <c r="K1307" s="409"/>
      <c r="L1307" s="409"/>
      <c r="M1307" s="409"/>
      <c r="N1307" s="409"/>
      <c r="O1307" s="409"/>
      <c r="P1307" s="409"/>
      <c r="Q1307" s="409"/>
      <c r="R1307" s="409"/>
      <c r="S1307" s="409"/>
      <c r="T1307" s="409"/>
      <c r="U1307" s="409"/>
      <c r="V1307" s="409"/>
      <c r="W1307" s="409"/>
      <c r="X1307" s="409"/>
      <c r="Y1307" s="409"/>
      <c r="Z1307" s="409"/>
      <c r="AA1307" s="409"/>
      <c r="AB1307" s="409"/>
      <c r="AC1307" s="409"/>
      <c r="AD1307" s="409"/>
      <c r="AE1307" s="409"/>
      <c r="AF1307" s="409"/>
      <c r="AG1307" s="409"/>
      <c r="AH1307" s="409"/>
      <c r="AI1307" s="409"/>
      <c r="AJ1307" s="409"/>
      <c r="AK1307" s="409"/>
      <c r="AL1307" s="409"/>
      <c r="AM1307" s="409"/>
      <c r="AN1307" s="409"/>
      <c r="AO1307" s="409"/>
      <c r="AP1307" s="409"/>
      <c r="AQ1307" s="409"/>
      <c r="AR1307" s="410"/>
    </row>
    <row r="1308" spans="1:44" ht="18" customHeight="1">
      <c r="C1308" s="411"/>
      <c r="D1308" s="412"/>
      <c r="E1308" s="412"/>
      <c r="F1308" s="412"/>
      <c r="G1308" s="412"/>
      <c r="H1308" s="412"/>
      <c r="I1308" s="409"/>
      <c r="J1308" s="409"/>
      <c r="K1308" s="409"/>
      <c r="L1308" s="409"/>
      <c r="M1308" s="409"/>
      <c r="N1308" s="409"/>
      <c r="O1308" s="409"/>
      <c r="P1308" s="409"/>
      <c r="Q1308" s="409"/>
      <c r="R1308" s="409"/>
      <c r="S1308" s="409"/>
      <c r="T1308" s="409"/>
      <c r="U1308" s="409"/>
      <c r="V1308" s="409"/>
      <c r="W1308" s="409"/>
      <c r="X1308" s="409"/>
      <c r="Y1308" s="409"/>
      <c r="Z1308" s="409"/>
      <c r="AA1308" s="409"/>
      <c r="AB1308" s="409"/>
      <c r="AC1308" s="409"/>
      <c r="AD1308" s="409"/>
      <c r="AE1308" s="409"/>
      <c r="AF1308" s="409"/>
      <c r="AG1308" s="409"/>
      <c r="AH1308" s="409"/>
      <c r="AI1308" s="409"/>
      <c r="AJ1308" s="409"/>
      <c r="AK1308" s="409"/>
      <c r="AL1308" s="409"/>
      <c r="AM1308" s="409"/>
      <c r="AN1308" s="409"/>
      <c r="AO1308" s="409"/>
      <c r="AP1308" s="409"/>
      <c r="AQ1308" s="409"/>
      <c r="AR1308" s="410"/>
    </row>
    <row r="1309" spans="1:44" ht="18" customHeight="1">
      <c r="C1309" s="385"/>
      <c r="D1309" s="386"/>
      <c r="E1309" s="386"/>
      <c r="F1309" s="386"/>
      <c r="G1309" s="386"/>
      <c r="H1309" s="386"/>
      <c r="I1309" s="387"/>
      <c r="J1309" s="387"/>
      <c r="K1309" s="387"/>
      <c r="L1309" s="387"/>
      <c r="M1309" s="387"/>
      <c r="N1309" s="387"/>
      <c r="O1309" s="387"/>
      <c r="P1309" s="387"/>
      <c r="Q1309" s="387"/>
      <c r="R1309" s="387"/>
      <c r="S1309" s="387"/>
      <c r="T1309" s="387"/>
      <c r="U1309" s="387"/>
      <c r="V1309" s="387"/>
      <c r="W1309" s="387"/>
      <c r="X1309" s="387"/>
      <c r="Y1309" s="387"/>
      <c r="Z1309" s="387"/>
      <c r="AA1309" s="387"/>
      <c r="AB1309" s="387"/>
      <c r="AC1309" s="387"/>
      <c r="AD1309" s="387"/>
      <c r="AE1309" s="387"/>
      <c r="AF1309" s="387"/>
      <c r="AG1309" s="387"/>
      <c r="AH1309" s="387"/>
      <c r="AI1309" s="387"/>
      <c r="AJ1309" s="387"/>
      <c r="AK1309" s="387"/>
      <c r="AL1309" s="387"/>
      <c r="AM1309" s="387"/>
      <c r="AN1309" s="387"/>
      <c r="AO1309" s="387"/>
      <c r="AP1309" s="387"/>
      <c r="AQ1309" s="387"/>
      <c r="AR1309" s="388"/>
    </row>
    <row r="1311" spans="1:44" ht="18" customHeight="1">
      <c r="C1311" s="389" t="s">
        <v>100</v>
      </c>
      <c r="D1311" s="390"/>
      <c r="E1311" s="390"/>
      <c r="F1311" s="390"/>
      <c r="G1311" s="390"/>
      <c r="H1311" s="390"/>
      <c r="I1311" s="390"/>
      <c r="J1311" s="390"/>
      <c r="K1311" s="390"/>
      <c r="L1311" s="390"/>
      <c r="M1311" s="390"/>
      <c r="N1311" s="390"/>
      <c r="O1311" s="390"/>
      <c r="P1311" s="390"/>
      <c r="Q1311" s="390"/>
      <c r="R1311" s="390"/>
      <c r="S1311" s="390"/>
      <c r="T1311" s="390"/>
      <c r="U1311" s="390"/>
      <c r="V1311" s="390"/>
      <c r="W1311" s="390"/>
      <c r="X1311" s="390"/>
      <c r="Y1311" s="390"/>
      <c r="Z1311" s="390"/>
      <c r="AA1311" s="391"/>
      <c r="AB1311" s="392" t="str">
        <f>[5]C.UNIT.SERV.!$E$5</f>
        <v>DATA-BASE:      MAIO/2011/PR</v>
      </c>
      <c r="AC1311" s="393"/>
      <c r="AD1311" s="393"/>
      <c r="AE1311" s="393"/>
      <c r="AF1311" s="393"/>
      <c r="AG1311" s="393"/>
      <c r="AH1311" s="393"/>
      <c r="AI1311" s="394"/>
      <c r="AJ1311" s="392"/>
      <c r="AK1311" s="393"/>
      <c r="AL1311" s="393"/>
      <c r="AM1311" s="393"/>
      <c r="AN1311" s="393"/>
      <c r="AO1311" s="393"/>
      <c r="AP1311" s="393"/>
      <c r="AQ1311" s="393"/>
      <c r="AR1311" s="401"/>
    </row>
    <row r="1312" spans="1:44" ht="18" customHeight="1">
      <c r="C1312" s="404" t="s">
        <v>101</v>
      </c>
      <c r="D1312" s="405"/>
      <c r="E1312" s="405"/>
      <c r="F1312" s="405"/>
      <c r="G1312" s="405" t="s">
        <v>283</v>
      </c>
      <c r="H1312" s="405"/>
      <c r="I1312" s="405"/>
      <c r="J1312" s="405"/>
      <c r="K1312" s="405"/>
      <c r="L1312" s="405"/>
      <c r="M1312" s="405"/>
      <c r="N1312" s="405"/>
      <c r="O1312" s="405"/>
      <c r="P1312" s="405"/>
      <c r="Q1312" s="405"/>
      <c r="R1312" s="405"/>
      <c r="S1312" s="405"/>
      <c r="T1312" s="405"/>
      <c r="U1312" s="405"/>
      <c r="V1312" s="405"/>
      <c r="W1312" s="405"/>
      <c r="X1312" s="405"/>
      <c r="Y1312" s="405"/>
      <c r="Z1312" s="405"/>
      <c r="AA1312" s="406"/>
      <c r="AB1312" s="395"/>
      <c r="AC1312" s="396"/>
      <c r="AD1312" s="396"/>
      <c r="AE1312" s="396"/>
      <c r="AF1312" s="396"/>
      <c r="AG1312" s="396"/>
      <c r="AH1312" s="396"/>
      <c r="AI1312" s="397"/>
      <c r="AJ1312" s="395"/>
      <c r="AK1312" s="396"/>
      <c r="AL1312" s="396"/>
      <c r="AM1312" s="396"/>
      <c r="AN1312" s="396"/>
      <c r="AO1312" s="396"/>
      <c r="AP1312" s="396"/>
      <c r="AQ1312" s="396"/>
      <c r="AR1312" s="402"/>
    </row>
    <row r="1313" spans="3:44" ht="18" customHeight="1">
      <c r="C1313" s="404" t="s">
        <v>102</v>
      </c>
      <c r="D1313" s="405"/>
      <c r="E1313" s="405"/>
      <c r="F1313" s="405"/>
      <c r="G1313" s="405"/>
      <c r="H1313" s="405"/>
      <c r="I1313" s="405"/>
      <c r="J1313" s="405"/>
      <c r="K1313" s="405"/>
      <c r="L1313" s="405"/>
      <c r="M1313" s="405"/>
      <c r="N1313" s="405"/>
      <c r="O1313" s="405"/>
      <c r="P1313" s="405"/>
      <c r="Q1313" s="405"/>
      <c r="R1313" s="405"/>
      <c r="S1313" s="405"/>
      <c r="T1313" s="405"/>
      <c r="U1313" s="405"/>
      <c r="V1313" s="405"/>
      <c r="W1313" s="405"/>
      <c r="X1313" s="405"/>
      <c r="Y1313" s="405"/>
      <c r="Z1313" s="405"/>
      <c r="AA1313" s="406"/>
      <c r="AB1313" s="395"/>
      <c r="AC1313" s="396"/>
      <c r="AD1313" s="396"/>
      <c r="AE1313" s="396"/>
      <c r="AF1313" s="396"/>
      <c r="AG1313" s="396"/>
      <c r="AH1313" s="396"/>
      <c r="AI1313" s="397"/>
      <c r="AJ1313" s="395"/>
      <c r="AK1313" s="396"/>
      <c r="AL1313" s="396"/>
      <c r="AM1313" s="396"/>
      <c r="AN1313" s="396"/>
      <c r="AO1313" s="396"/>
      <c r="AP1313" s="396"/>
      <c r="AQ1313" s="396"/>
      <c r="AR1313" s="402"/>
    </row>
    <row r="1314" spans="3:44" ht="18" customHeight="1">
      <c r="C1314" s="407"/>
      <c r="D1314" s="408"/>
      <c r="E1314" s="408"/>
      <c r="F1314" s="408"/>
      <c r="G1314" s="408"/>
      <c r="H1314" s="408"/>
      <c r="I1314" s="408"/>
      <c r="J1314" s="408"/>
      <c r="K1314" s="408"/>
      <c r="L1314" s="408"/>
      <c r="M1314" s="408"/>
      <c r="N1314" s="408"/>
      <c r="O1314" s="408"/>
      <c r="P1314" s="408"/>
      <c r="Q1314" s="408"/>
      <c r="R1314" s="408"/>
      <c r="S1314" s="408"/>
      <c r="T1314" s="408"/>
      <c r="U1314" s="408"/>
      <c r="V1314" s="408"/>
      <c r="W1314" s="408"/>
      <c r="X1314" s="408"/>
      <c r="Y1314" s="408"/>
      <c r="Z1314" s="408"/>
      <c r="AA1314" s="408"/>
      <c r="AB1314" s="398"/>
      <c r="AC1314" s="399"/>
      <c r="AD1314" s="399"/>
      <c r="AE1314" s="399"/>
      <c r="AF1314" s="399"/>
      <c r="AG1314" s="399"/>
      <c r="AH1314" s="399"/>
      <c r="AI1314" s="400"/>
      <c r="AJ1314" s="398"/>
      <c r="AK1314" s="399"/>
      <c r="AL1314" s="399"/>
      <c r="AM1314" s="399"/>
      <c r="AN1314" s="399"/>
      <c r="AO1314" s="399"/>
      <c r="AP1314" s="399"/>
      <c r="AQ1314" s="399"/>
      <c r="AR1314" s="403"/>
    </row>
    <row r="1316" spans="3:44" ht="18" customHeight="1">
      <c r="C1316" s="850" t="s">
        <v>64</v>
      </c>
      <c r="D1316" s="851"/>
      <c r="E1316" s="851"/>
      <c r="F1316" s="851"/>
      <c r="G1316" s="851"/>
      <c r="H1316" s="851"/>
      <c r="I1316" s="851"/>
      <c r="J1316" s="851"/>
      <c r="K1316" s="851"/>
      <c r="L1316" s="851"/>
      <c r="M1316" s="851"/>
      <c r="N1316" s="851"/>
      <c r="O1316" s="851"/>
      <c r="P1316" s="851"/>
      <c r="Q1316" s="851"/>
      <c r="R1316" s="851"/>
      <c r="S1316" s="851"/>
      <c r="T1316" s="851"/>
      <c r="U1316" s="851"/>
      <c r="V1316" s="851"/>
      <c r="W1316" s="851"/>
      <c r="X1316" s="851"/>
      <c r="Y1316" s="851"/>
      <c r="Z1316" s="851"/>
      <c r="AA1316" s="851"/>
      <c r="AB1316" s="851"/>
      <c r="AC1316" s="851"/>
      <c r="AD1316" s="851"/>
      <c r="AE1316" s="851"/>
      <c r="AF1316" s="851"/>
      <c r="AG1316" s="851"/>
      <c r="AH1316" s="851"/>
      <c r="AI1316" s="851"/>
      <c r="AJ1316" s="851"/>
      <c r="AK1316" s="851"/>
      <c r="AL1316" s="851"/>
      <c r="AM1316" s="851"/>
      <c r="AN1316" s="851"/>
      <c r="AO1316" s="851"/>
      <c r="AP1316" s="851"/>
      <c r="AQ1316" s="851"/>
      <c r="AR1316" s="852"/>
    </row>
    <row r="1317" spans="3:44" ht="18" customHeight="1">
      <c r="C1317" s="853"/>
      <c r="D1317" s="854"/>
      <c r="E1317" s="854"/>
      <c r="F1317" s="854"/>
      <c r="G1317" s="854"/>
      <c r="H1317" s="854"/>
      <c r="I1317" s="854"/>
      <c r="J1317" s="854"/>
      <c r="K1317" s="854"/>
      <c r="L1317" s="854"/>
      <c r="M1317" s="854"/>
      <c r="N1317" s="854"/>
      <c r="O1317" s="854"/>
      <c r="P1317" s="854"/>
      <c r="Q1317" s="854"/>
      <c r="R1317" s="854"/>
      <c r="S1317" s="854"/>
      <c r="T1317" s="854"/>
      <c r="U1317" s="854"/>
      <c r="V1317" s="854"/>
      <c r="W1317" s="854"/>
      <c r="X1317" s="854"/>
      <c r="Y1317" s="854"/>
      <c r="Z1317" s="854"/>
      <c r="AA1317" s="854"/>
      <c r="AB1317" s="854"/>
      <c r="AC1317" s="854"/>
      <c r="AD1317" s="854"/>
      <c r="AE1317" s="854"/>
      <c r="AF1317" s="854"/>
      <c r="AG1317" s="854"/>
      <c r="AH1317" s="854"/>
      <c r="AI1317" s="854"/>
      <c r="AJ1317" s="854"/>
      <c r="AK1317" s="854"/>
      <c r="AL1317" s="854"/>
      <c r="AM1317" s="854"/>
      <c r="AN1317" s="854"/>
      <c r="AO1317" s="854"/>
      <c r="AP1317" s="854"/>
      <c r="AQ1317" s="854"/>
      <c r="AR1317" s="855"/>
    </row>
    <row r="1318" spans="3:44" ht="18" customHeight="1">
      <c r="C1318" s="856" t="s">
        <v>65</v>
      </c>
      <c r="D1318" s="857"/>
      <c r="E1318" s="857"/>
      <c r="F1318" s="857"/>
      <c r="G1318" s="860" t="s">
        <v>1582</v>
      </c>
      <c r="H1318" s="860"/>
      <c r="I1318" s="860"/>
      <c r="J1318" s="861"/>
      <c r="K1318" s="864" t="s">
        <v>66</v>
      </c>
      <c r="L1318" s="865"/>
      <c r="M1318" s="865"/>
      <c r="N1318" s="865"/>
      <c r="O1318" s="526" t="s">
        <v>1581</v>
      </c>
      <c r="P1318" s="526"/>
      <c r="Q1318" s="526"/>
      <c r="R1318" s="526"/>
      <c r="S1318" s="526"/>
      <c r="T1318" s="526"/>
      <c r="U1318" s="526"/>
      <c r="V1318" s="526"/>
      <c r="W1318" s="526"/>
      <c r="X1318" s="526"/>
      <c r="Y1318" s="526"/>
      <c r="Z1318" s="526"/>
      <c r="AA1318" s="526"/>
      <c r="AB1318" s="526"/>
      <c r="AC1318" s="526"/>
      <c r="AD1318" s="526"/>
      <c r="AE1318" s="526"/>
      <c r="AF1318" s="526"/>
      <c r="AG1318" s="526"/>
      <c r="AH1318" s="526"/>
      <c r="AI1318" s="526"/>
      <c r="AJ1318" s="526"/>
      <c r="AK1318" s="527"/>
      <c r="AL1318" s="864" t="s">
        <v>67</v>
      </c>
      <c r="AM1318" s="865"/>
      <c r="AN1318" s="865"/>
      <c r="AO1318" s="865"/>
      <c r="AP1318" s="843" t="s">
        <v>194</v>
      </c>
      <c r="AQ1318" s="843"/>
      <c r="AR1318" s="844"/>
    </row>
    <row r="1319" spans="3:44" ht="18" customHeight="1">
      <c r="C1319" s="858"/>
      <c r="D1319" s="859"/>
      <c r="E1319" s="859"/>
      <c r="F1319" s="859"/>
      <c r="G1319" s="862"/>
      <c r="H1319" s="862"/>
      <c r="I1319" s="862"/>
      <c r="J1319" s="863"/>
      <c r="K1319" s="866"/>
      <c r="L1319" s="867"/>
      <c r="M1319" s="867"/>
      <c r="N1319" s="867"/>
      <c r="O1319" s="528"/>
      <c r="P1319" s="528"/>
      <c r="Q1319" s="528"/>
      <c r="R1319" s="528"/>
      <c r="S1319" s="528"/>
      <c r="T1319" s="528"/>
      <c r="U1319" s="528"/>
      <c r="V1319" s="528"/>
      <c r="W1319" s="528"/>
      <c r="X1319" s="528"/>
      <c r="Y1319" s="528"/>
      <c r="Z1319" s="528"/>
      <c r="AA1319" s="528"/>
      <c r="AB1319" s="528"/>
      <c r="AC1319" s="528"/>
      <c r="AD1319" s="528"/>
      <c r="AE1319" s="528"/>
      <c r="AF1319" s="528"/>
      <c r="AG1319" s="528"/>
      <c r="AH1319" s="528"/>
      <c r="AI1319" s="528"/>
      <c r="AJ1319" s="528"/>
      <c r="AK1319" s="529"/>
      <c r="AL1319" s="866"/>
      <c r="AM1319" s="867"/>
      <c r="AN1319" s="867"/>
      <c r="AO1319" s="867"/>
      <c r="AP1319" s="845"/>
      <c r="AQ1319" s="845"/>
      <c r="AR1319" s="846"/>
    </row>
    <row r="1321" spans="3:44" ht="18" customHeight="1">
      <c r="C1321" s="794" t="s">
        <v>43</v>
      </c>
      <c r="D1321" s="774"/>
      <c r="E1321" s="775"/>
      <c r="F1321" s="773" t="s">
        <v>68</v>
      </c>
      <c r="G1321" s="774"/>
      <c r="H1321" s="774"/>
      <c r="I1321" s="774"/>
      <c r="J1321" s="774"/>
      <c r="K1321" s="774"/>
      <c r="L1321" s="774"/>
      <c r="M1321" s="774"/>
      <c r="N1321" s="774"/>
      <c r="O1321" s="774"/>
      <c r="P1321" s="774"/>
      <c r="Q1321" s="774"/>
      <c r="R1321" s="774"/>
      <c r="S1321" s="774"/>
      <c r="T1321" s="774"/>
      <c r="U1321" s="775"/>
      <c r="V1321" s="773" t="s">
        <v>249</v>
      </c>
      <c r="W1321" s="774"/>
      <c r="X1321" s="775"/>
      <c r="Y1321" s="847" t="s">
        <v>69</v>
      </c>
      <c r="Z1321" s="848"/>
      <c r="AA1321" s="848"/>
      <c r="AB1321" s="848"/>
      <c r="AC1321" s="848"/>
      <c r="AD1321" s="848"/>
      <c r="AE1321" s="848"/>
      <c r="AF1321" s="849"/>
      <c r="AG1321" s="847" t="s">
        <v>70</v>
      </c>
      <c r="AH1321" s="848"/>
      <c r="AI1321" s="848"/>
      <c r="AJ1321" s="848"/>
      <c r="AK1321" s="848"/>
      <c r="AL1321" s="848"/>
      <c r="AM1321" s="848"/>
      <c r="AN1321" s="849"/>
      <c r="AO1321" s="773" t="s">
        <v>71</v>
      </c>
      <c r="AP1321" s="774"/>
      <c r="AQ1321" s="774"/>
      <c r="AR1321" s="779"/>
    </row>
    <row r="1322" spans="3:44" ht="18" customHeight="1">
      <c r="C1322" s="795"/>
      <c r="D1322" s="777"/>
      <c r="E1322" s="778"/>
      <c r="F1322" s="776"/>
      <c r="G1322" s="777"/>
      <c r="H1322" s="777"/>
      <c r="I1322" s="777"/>
      <c r="J1322" s="777"/>
      <c r="K1322" s="777"/>
      <c r="L1322" s="777"/>
      <c r="M1322" s="777"/>
      <c r="N1322" s="777"/>
      <c r="O1322" s="777"/>
      <c r="P1322" s="777"/>
      <c r="Q1322" s="777"/>
      <c r="R1322" s="777"/>
      <c r="S1322" s="777"/>
      <c r="T1322" s="777"/>
      <c r="U1322" s="778"/>
      <c r="V1322" s="776"/>
      <c r="W1322" s="777"/>
      <c r="X1322" s="778"/>
      <c r="Y1322" s="834" t="s">
        <v>72</v>
      </c>
      <c r="Z1322" s="835"/>
      <c r="AA1322" s="835"/>
      <c r="AB1322" s="836"/>
      <c r="AC1322" s="834" t="s">
        <v>73</v>
      </c>
      <c r="AD1322" s="835"/>
      <c r="AE1322" s="835"/>
      <c r="AF1322" s="836"/>
      <c r="AG1322" s="834" t="s">
        <v>72</v>
      </c>
      <c r="AH1322" s="835"/>
      <c r="AI1322" s="835"/>
      <c r="AJ1322" s="836"/>
      <c r="AK1322" s="834" t="s">
        <v>73</v>
      </c>
      <c r="AL1322" s="835"/>
      <c r="AM1322" s="835"/>
      <c r="AN1322" s="836"/>
      <c r="AO1322" s="776"/>
      <c r="AP1322" s="777"/>
      <c r="AQ1322" s="777"/>
      <c r="AR1322" s="780"/>
    </row>
    <row r="1323" spans="3:44" ht="18" customHeight="1">
      <c r="C1323" s="781" t="s">
        <v>1386</v>
      </c>
      <c r="D1323" s="782"/>
      <c r="E1323" s="783"/>
      <c r="F1323" s="493" t="s">
        <v>866</v>
      </c>
      <c r="G1323" s="493"/>
      <c r="H1323" s="493"/>
      <c r="I1323" s="493"/>
      <c r="J1323" s="493"/>
      <c r="K1323" s="493"/>
      <c r="L1323" s="493"/>
      <c r="M1323" s="493"/>
      <c r="N1323" s="493"/>
      <c r="O1323" s="493"/>
      <c r="P1323" s="493"/>
      <c r="Q1323" s="493"/>
      <c r="R1323" s="493"/>
      <c r="S1323" s="493"/>
      <c r="T1323" s="493"/>
      <c r="U1323" s="493"/>
      <c r="V1323" s="837">
        <v>0.23</v>
      </c>
      <c r="W1323" s="838"/>
      <c r="X1323" s="839"/>
      <c r="Y1323" s="837">
        <v>1</v>
      </c>
      <c r="Z1323" s="838"/>
      <c r="AA1323" s="838"/>
      <c r="AB1323" s="839"/>
      <c r="AC1323" s="840">
        <f>1-Y1323</f>
        <v>0</v>
      </c>
      <c r="AD1323" s="841"/>
      <c r="AE1323" s="841"/>
      <c r="AF1323" s="842"/>
      <c r="AG1323" s="491">
        <f>VLOOKUP(C1323,[5]EQUIPAMENTOS!A$1:D$65536,3,FALSE)</f>
        <v>120.4585</v>
      </c>
      <c r="AH1323" s="491"/>
      <c r="AI1323" s="491"/>
      <c r="AJ1323" s="491"/>
      <c r="AK1323" s="491">
        <f>VLOOKUP(C1323,[5]EQUIPAMENTOS!A$1:D$65536,4,FALSE)</f>
        <v>17.939399999999999</v>
      </c>
      <c r="AL1323" s="491"/>
      <c r="AM1323" s="491"/>
      <c r="AN1323" s="491"/>
      <c r="AO1323" s="491">
        <f>ROUND((Y1323*AG1323+AC1323*AK1323)*V1323,2)</f>
        <v>27.71</v>
      </c>
      <c r="AP1323" s="491"/>
      <c r="AQ1323" s="491"/>
      <c r="AR1323" s="492"/>
    </row>
    <row r="1324" spans="3:44" ht="18" customHeight="1">
      <c r="C1324" s="758" t="s">
        <v>1387</v>
      </c>
      <c r="D1324" s="759"/>
      <c r="E1324" s="760"/>
      <c r="F1324" s="493" t="s">
        <v>867</v>
      </c>
      <c r="G1324" s="493"/>
      <c r="H1324" s="493"/>
      <c r="I1324" s="493"/>
      <c r="J1324" s="493"/>
      <c r="K1324" s="493"/>
      <c r="L1324" s="493"/>
      <c r="M1324" s="493"/>
      <c r="N1324" s="493"/>
      <c r="O1324" s="493"/>
      <c r="P1324" s="493"/>
      <c r="Q1324" s="493"/>
      <c r="R1324" s="493"/>
      <c r="S1324" s="493"/>
      <c r="T1324" s="493"/>
      <c r="U1324" s="493"/>
      <c r="V1324" s="466">
        <v>0.1</v>
      </c>
      <c r="W1324" s="467"/>
      <c r="X1324" s="468"/>
      <c r="Y1324" s="466">
        <v>1</v>
      </c>
      <c r="Z1324" s="467"/>
      <c r="AA1324" s="467"/>
      <c r="AB1324" s="468"/>
      <c r="AC1324" s="828">
        <f>1-Y1324</f>
        <v>0</v>
      </c>
      <c r="AD1324" s="829"/>
      <c r="AE1324" s="829"/>
      <c r="AF1324" s="830"/>
      <c r="AG1324" s="491">
        <f>VLOOKUP(C1324,[5]EQUIPAMENTOS!A$1:D$65536,3,FALSE)</f>
        <v>123.3065</v>
      </c>
      <c r="AH1324" s="491"/>
      <c r="AI1324" s="491"/>
      <c r="AJ1324" s="491"/>
      <c r="AK1324" s="491">
        <f>VLOOKUP(C1324,[5]EQUIPAMENTOS!A$1:D$65536,4,FALSE)</f>
        <v>17.939399999999999</v>
      </c>
      <c r="AL1324" s="491"/>
      <c r="AM1324" s="491"/>
      <c r="AN1324" s="491"/>
      <c r="AO1324" s="491">
        <f>ROUND((Y1324*AG1324+AC1324*AK1324)*V1324,2)</f>
        <v>12.33</v>
      </c>
      <c r="AP1324" s="491"/>
      <c r="AQ1324" s="491"/>
      <c r="AR1324" s="492"/>
    </row>
    <row r="1325" spans="3:44" ht="18" customHeight="1">
      <c r="C1325" s="758"/>
      <c r="D1325" s="759"/>
      <c r="E1325" s="760"/>
      <c r="F1325" s="493"/>
      <c r="G1325" s="493"/>
      <c r="H1325" s="493"/>
      <c r="I1325" s="493"/>
      <c r="J1325" s="493"/>
      <c r="K1325" s="493"/>
      <c r="L1325" s="493"/>
      <c r="M1325" s="493"/>
      <c r="N1325" s="493"/>
      <c r="O1325" s="493"/>
      <c r="P1325" s="493"/>
      <c r="Q1325" s="493"/>
      <c r="R1325" s="493"/>
      <c r="S1325" s="493"/>
      <c r="T1325" s="493"/>
      <c r="U1325" s="493"/>
      <c r="V1325" s="466"/>
      <c r="W1325" s="467"/>
      <c r="X1325" s="468"/>
      <c r="Y1325" s="466"/>
      <c r="Z1325" s="467"/>
      <c r="AA1325" s="467"/>
      <c r="AB1325" s="468"/>
      <c r="AC1325" s="828"/>
      <c r="AD1325" s="829"/>
      <c r="AE1325" s="829"/>
      <c r="AF1325" s="830"/>
      <c r="AG1325" s="491"/>
      <c r="AH1325" s="491"/>
      <c r="AI1325" s="491"/>
      <c r="AJ1325" s="491"/>
      <c r="AK1325" s="491"/>
      <c r="AL1325" s="491"/>
      <c r="AM1325" s="491"/>
      <c r="AN1325" s="491"/>
      <c r="AO1325" s="491"/>
      <c r="AP1325" s="491"/>
      <c r="AQ1325" s="491"/>
      <c r="AR1325" s="492"/>
    </row>
    <row r="1326" spans="3:44" ht="18" customHeight="1">
      <c r="C1326" s="758"/>
      <c r="D1326" s="759"/>
      <c r="E1326" s="760"/>
      <c r="F1326" s="493"/>
      <c r="G1326" s="493"/>
      <c r="H1326" s="493"/>
      <c r="I1326" s="493"/>
      <c r="J1326" s="493"/>
      <c r="K1326" s="493"/>
      <c r="L1326" s="493"/>
      <c r="M1326" s="493"/>
      <c r="N1326" s="493"/>
      <c r="O1326" s="493"/>
      <c r="P1326" s="493"/>
      <c r="Q1326" s="493"/>
      <c r="R1326" s="493"/>
      <c r="S1326" s="493"/>
      <c r="T1326" s="493"/>
      <c r="U1326" s="493"/>
      <c r="V1326" s="466"/>
      <c r="W1326" s="467"/>
      <c r="X1326" s="468"/>
      <c r="Y1326" s="466"/>
      <c r="Z1326" s="467"/>
      <c r="AA1326" s="467"/>
      <c r="AB1326" s="468"/>
      <c r="AC1326" s="828"/>
      <c r="AD1326" s="829"/>
      <c r="AE1326" s="829"/>
      <c r="AF1326" s="830"/>
      <c r="AG1326" s="491"/>
      <c r="AH1326" s="491"/>
      <c r="AI1326" s="491"/>
      <c r="AJ1326" s="491"/>
      <c r="AK1326" s="491"/>
      <c r="AL1326" s="491"/>
      <c r="AM1326" s="491"/>
      <c r="AN1326" s="491"/>
      <c r="AO1326" s="491"/>
      <c r="AP1326" s="491"/>
      <c r="AQ1326" s="491"/>
      <c r="AR1326" s="492"/>
    </row>
    <row r="1327" spans="3:44" ht="18" customHeight="1">
      <c r="C1327" s="758"/>
      <c r="D1327" s="759"/>
      <c r="E1327" s="760"/>
      <c r="F1327" s="493"/>
      <c r="G1327" s="493"/>
      <c r="H1327" s="493"/>
      <c r="I1327" s="493"/>
      <c r="J1327" s="493"/>
      <c r="K1327" s="493"/>
      <c r="L1327" s="493"/>
      <c r="M1327" s="493"/>
      <c r="N1327" s="493"/>
      <c r="O1327" s="493"/>
      <c r="P1327" s="493"/>
      <c r="Q1327" s="493"/>
      <c r="R1327" s="493"/>
      <c r="S1327" s="493"/>
      <c r="T1327" s="493"/>
      <c r="U1327" s="493"/>
      <c r="V1327" s="466"/>
      <c r="W1327" s="467"/>
      <c r="X1327" s="468"/>
      <c r="Y1327" s="466"/>
      <c r="Z1327" s="467"/>
      <c r="AA1327" s="467"/>
      <c r="AB1327" s="468"/>
      <c r="AC1327" s="828"/>
      <c r="AD1327" s="829"/>
      <c r="AE1327" s="829"/>
      <c r="AF1327" s="830"/>
      <c r="AG1327" s="491"/>
      <c r="AH1327" s="491"/>
      <c r="AI1327" s="491"/>
      <c r="AJ1327" s="491"/>
      <c r="AK1327" s="491"/>
      <c r="AL1327" s="491"/>
      <c r="AM1327" s="491"/>
      <c r="AN1327" s="491"/>
      <c r="AO1327" s="491"/>
      <c r="AP1327" s="491"/>
      <c r="AQ1327" s="491"/>
      <c r="AR1327" s="492"/>
    </row>
    <row r="1328" spans="3:44" ht="18" customHeight="1">
      <c r="C1328" s="758"/>
      <c r="D1328" s="759"/>
      <c r="E1328" s="760"/>
      <c r="F1328" s="493"/>
      <c r="G1328" s="493"/>
      <c r="H1328" s="493"/>
      <c r="I1328" s="493"/>
      <c r="J1328" s="493"/>
      <c r="K1328" s="493"/>
      <c r="L1328" s="493"/>
      <c r="M1328" s="493"/>
      <c r="N1328" s="493"/>
      <c r="O1328" s="493"/>
      <c r="P1328" s="493"/>
      <c r="Q1328" s="493"/>
      <c r="R1328" s="493"/>
      <c r="S1328" s="493"/>
      <c r="T1328" s="493"/>
      <c r="U1328" s="493"/>
      <c r="V1328" s="466"/>
      <c r="W1328" s="467"/>
      <c r="X1328" s="468"/>
      <c r="Y1328" s="466"/>
      <c r="Z1328" s="467"/>
      <c r="AA1328" s="467"/>
      <c r="AB1328" s="468"/>
      <c r="AC1328" s="828"/>
      <c r="AD1328" s="829"/>
      <c r="AE1328" s="829"/>
      <c r="AF1328" s="830"/>
      <c r="AG1328" s="491"/>
      <c r="AH1328" s="491"/>
      <c r="AI1328" s="491"/>
      <c r="AJ1328" s="491"/>
      <c r="AK1328" s="491"/>
      <c r="AL1328" s="491"/>
      <c r="AM1328" s="491"/>
      <c r="AN1328" s="491"/>
      <c r="AO1328" s="491"/>
      <c r="AP1328" s="491"/>
      <c r="AQ1328" s="491"/>
      <c r="AR1328" s="492"/>
    </row>
    <row r="1329" spans="3:44" ht="18" customHeight="1">
      <c r="C1329" s="758"/>
      <c r="D1329" s="759"/>
      <c r="E1329" s="760"/>
      <c r="F1329" s="796"/>
      <c r="G1329" s="797"/>
      <c r="H1329" s="797"/>
      <c r="I1329" s="797"/>
      <c r="J1329" s="797"/>
      <c r="K1329" s="797"/>
      <c r="L1329" s="797"/>
      <c r="M1329" s="797"/>
      <c r="N1329" s="797"/>
      <c r="O1329" s="797"/>
      <c r="P1329" s="797"/>
      <c r="Q1329" s="797"/>
      <c r="R1329" s="797"/>
      <c r="S1329" s="797"/>
      <c r="T1329" s="797"/>
      <c r="U1329" s="798"/>
      <c r="V1329" s="466"/>
      <c r="W1329" s="467"/>
      <c r="X1329" s="468"/>
      <c r="Y1329" s="466"/>
      <c r="Z1329" s="467"/>
      <c r="AA1329" s="467"/>
      <c r="AB1329" s="468"/>
      <c r="AC1329" s="828"/>
      <c r="AD1329" s="829"/>
      <c r="AE1329" s="829"/>
      <c r="AF1329" s="830"/>
      <c r="AG1329" s="466"/>
      <c r="AH1329" s="467"/>
      <c r="AI1329" s="467"/>
      <c r="AJ1329" s="468"/>
      <c r="AK1329" s="466"/>
      <c r="AL1329" s="467"/>
      <c r="AM1329" s="467"/>
      <c r="AN1329" s="468"/>
      <c r="AO1329" s="466"/>
      <c r="AP1329" s="467"/>
      <c r="AQ1329" s="467"/>
      <c r="AR1329" s="823"/>
    </row>
    <row r="1330" spans="3:44" ht="18" customHeight="1">
      <c r="C1330" s="758"/>
      <c r="D1330" s="759"/>
      <c r="E1330" s="760"/>
      <c r="F1330" s="796"/>
      <c r="G1330" s="797"/>
      <c r="H1330" s="797"/>
      <c r="I1330" s="797"/>
      <c r="J1330" s="797"/>
      <c r="K1330" s="797"/>
      <c r="L1330" s="797"/>
      <c r="M1330" s="797"/>
      <c r="N1330" s="797"/>
      <c r="O1330" s="797"/>
      <c r="P1330" s="797"/>
      <c r="Q1330" s="797"/>
      <c r="R1330" s="797"/>
      <c r="S1330" s="797"/>
      <c r="T1330" s="797"/>
      <c r="U1330" s="798"/>
      <c r="V1330" s="466"/>
      <c r="W1330" s="467"/>
      <c r="X1330" s="468"/>
      <c r="Y1330" s="466"/>
      <c r="Z1330" s="467"/>
      <c r="AA1330" s="467"/>
      <c r="AB1330" s="468"/>
      <c r="AC1330" s="828"/>
      <c r="AD1330" s="829"/>
      <c r="AE1330" s="829"/>
      <c r="AF1330" s="830"/>
      <c r="AG1330" s="466"/>
      <c r="AH1330" s="467"/>
      <c r="AI1330" s="467"/>
      <c r="AJ1330" s="468"/>
      <c r="AK1330" s="466"/>
      <c r="AL1330" s="467"/>
      <c r="AM1330" s="467"/>
      <c r="AN1330" s="468"/>
      <c r="AO1330" s="466"/>
      <c r="AP1330" s="467"/>
      <c r="AQ1330" s="467"/>
      <c r="AR1330" s="823"/>
    </row>
    <row r="1331" spans="3:44" ht="18" customHeight="1">
      <c r="C1331" s="743"/>
      <c r="D1331" s="744"/>
      <c r="E1331" s="744"/>
      <c r="F1331" s="744"/>
      <c r="G1331" s="744"/>
      <c r="H1331" s="744"/>
      <c r="I1331" s="744"/>
      <c r="J1331" s="744"/>
      <c r="K1331" s="744"/>
      <c r="L1331" s="744"/>
      <c r="M1331" s="744"/>
      <c r="N1331" s="744"/>
      <c r="O1331" s="744"/>
      <c r="P1331" s="744"/>
      <c r="Q1331" s="744"/>
      <c r="R1331" s="744"/>
      <c r="S1331" s="744"/>
      <c r="T1331" s="744"/>
      <c r="U1331" s="744"/>
      <c r="V1331" s="744"/>
      <c r="W1331" s="744"/>
      <c r="X1331" s="824"/>
      <c r="Y1331" s="825" t="s">
        <v>74</v>
      </c>
      <c r="Z1331" s="826"/>
      <c r="AA1331" s="826"/>
      <c r="AB1331" s="826"/>
      <c r="AC1331" s="826"/>
      <c r="AD1331" s="826"/>
      <c r="AE1331" s="826"/>
      <c r="AF1331" s="826"/>
      <c r="AG1331" s="826"/>
      <c r="AH1331" s="826"/>
      <c r="AI1331" s="826"/>
      <c r="AJ1331" s="826"/>
      <c r="AK1331" s="826"/>
      <c r="AL1331" s="826"/>
      <c r="AM1331" s="826"/>
      <c r="AN1331" s="827"/>
      <c r="AO1331" s="477">
        <f>SUM(AO1323:AR1330)</f>
        <v>40.04</v>
      </c>
      <c r="AP1331" s="746"/>
      <c r="AQ1331" s="746"/>
      <c r="AR1331" s="747"/>
    </row>
    <row r="1333" spans="3:44" ht="18" customHeight="1">
      <c r="C1333" s="794" t="s">
        <v>43</v>
      </c>
      <c r="D1333" s="774"/>
      <c r="E1333" s="775"/>
      <c r="F1333" s="773" t="s">
        <v>75</v>
      </c>
      <c r="G1333" s="774"/>
      <c r="H1333" s="774"/>
      <c r="I1333" s="774"/>
      <c r="J1333" s="774"/>
      <c r="K1333" s="774"/>
      <c r="L1333" s="774"/>
      <c r="M1333" s="774"/>
      <c r="N1333" s="774"/>
      <c r="O1333" s="774"/>
      <c r="P1333" s="774"/>
      <c r="Q1333" s="774"/>
      <c r="R1333" s="774"/>
      <c r="S1333" s="774"/>
      <c r="T1333" s="774"/>
      <c r="U1333" s="774"/>
      <c r="V1333" s="774"/>
      <c r="W1333" s="774"/>
      <c r="X1333" s="774"/>
      <c r="Y1333" s="774"/>
      <c r="Z1333" s="774"/>
      <c r="AA1333" s="774"/>
      <c r="AB1333" s="775"/>
      <c r="AC1333" s="773" t="s">
        <v>76</v>
      </c>
      <c r="AD1333" s="774"/>
      <c r="AE1333" s="774"/>
      <c r="AF1333" s="775"/>
      <c r="AG1333" s="773" t="s">
        <v>249</v>
      </c>
      <c r="AH1333" s="774"/>
      <c r="AI1333" s="774"/>
      <c r="AJ1333" s="775"/>
      <c r="AK1333" s="773" t="s">
        <v>77</v>
      </c>
      <c r="AL1333" s="774"/>
      <c r="AM1333" s="774"/>
      <c r="AN1333" s="775"/>
      <c r="AO1333" s="773" t="s">
        <v>71</v>
      </c>
      <c r="AP1333" s="774"/>
      <c r="AQ1333" s="774"/>
      <c r="AR1333" s="779"/>
    </row>
    <row r="1334" spans="3:44" ht="18" customHeight="1">
      <c r="C1334" s="795"/>
      <c r="D1334" s="777"/>
      <c r="E1334" s="778"/>
      <c r="F1334" s="776"/>
      <c r="G1334" s="777"/>
      <c r="H1334" s="777"/>
      <c r="I1334" s="777"/>
      <c r="J1334" s="777"/>
      <c r="K1334" s="777"/>
      <c r="L1334" s="777"/>
      <c r="M1334" s="777"/>
      <c r="N1334" s="777"/>
      <c r="O1334" s="777"/>
      <c r="P1334" s="777"/>
      <c r="Q1334" s="777"/>
      <c r="R1334" s="777"/>
      <c r="S1334" s="777"/>
      <c r="T1334" s="777"/>
      <c r="U1334" s="777"/>
      <c r="V1334" s="777"/>
      <c r="W1334" s="777"/>
      <c r="X1334" s="777"/>
      <c r="Y1334" s="777"/>
      <c r="Z1334" s="777"/>
      <c r="AA1334" s="777"/>
      <c r="AB1334" s="778"/>
      <c r="AC1334" s="776"/>
      <c r="AD1334" s="777"/>
      <c r="AE1334" s="777"/>
      <c r="AF1334" s="778"/>
      <c r="AG1334" s="776"/>
      <c r="AH1334" s="777"/>
      <c r="AI1334" s="777"/>
      <c r="AJ1334" s="778"/>
      <c r="AK1334" s="776"/>
      <c r="AL1334" s="777"/>
      <c r="AM1334" s="777"/>
      <c r="AN1334" s="778"/>
      <c r="AO1334" s="776"/>
      <c r="AP1334" s="777"/>
      <c r="AQ1334" s="777"/>
      <c r="AR1334" s="780"/>
    </row>
    <row r="1335" spans="3:44" ht="18" customHeight="1">
      <c r="C1335" s="781" t="s">
        <v>940</v>
      </c>
      <c r="D1335" s="782"/>
      <c r="E1335" s="783"/>
      <c r="F1335" s="493" t="s">
        <v>105</v>
      </c>
      <c r="G1335" s="493"/>
      <c r="H1335" s="493"/>
      <c r="I1335" s="493"/>
      <c r="J1335" s="493"/>
      <c r="K1335" s="493"/>
      <c r="L1335" s="493"/>
      <c r="M1335" s="493"/>
      <c r="N1335" s="493"/>
      <c r="O1335" s="493"/>
      <c r="P1335" s="493"/>
      <c r="Q1335" s="493"/>
      <c r="R1335" s="493"/>
      <c r="S1335" s="493"/>
      <c r="T1335" s="493"/>
      <c r="U1335" s="493"/>
      <c r="V1335" s="493"/>
      <c r="W1335" s="493"/>
      <c r="X1335" s="493"/>
      <c r="Y1335" s="493"/>
      <c r="Z1335" s="493"/>
      <c r="AA1335" s="493"/>
      <c r="AB1335" s="493"/>
      <c r="AC1335" s="770"/>
      <c r="AD1335" s="771"/>
      <c r="AE1335" s="771"/>
      <c r="AF1335" s="790"/>
      <c r="AG1335" s="770">
        <v>11.5</v>
      </c>
      <c r="AH1335" s="771"/>
      <c r="AI1335" s="771"/>
      <c r="AJ1335" s="790"/>
      <c r="AK1335" s="449">
        <f>VLOOKUP(C1335,[5]MÃODEOBRA!A$1:D$65536,4,FALSE)</f>
        <v>22.98488</v>
      </c>
      <c r="AL1335" s="449"/>
      <c r="AM1335" s="449"/>
      <c r="AN1335" s="449"/>
      <c r="AO1335" s="491">
        <f>ROUND(AG1335*AK1335,2)</f>
        <v>264.33</v>
      </c>
      <c r="AP1335" s="491"/>
      <c r="AQ1335" s="491"/>
      <c r="AR1335" s="492"/>
    </row>
    <row r="1336" spans="3:44" ht="18" customHeight="1">
      <c r="C1336" s="758"/>
      <c r="D1336" s="759"/>
      <c r="E1336" s="760"/>
      <c r="F1336" s="493"/>
      <c r="G1336" s="493"/>
      <c r="H1336" s="493"/>
      <c r="I1336" s="493"/>
      <c r="J1336" s="493"/>
      <c r="K1336" s="493"/>
      <c r="L1336" s="493"/>
      <c r="M1336" s="493"/>
      <c r="N1336" s="493"/>
      <c r="O1336" s="493"/>
      <c r="P1336" s="493"/>
      <c r="Q1336" s="493"/>
      <c r="R1336" s="493"/>
      <c r="S1336" s="493"/>
      <c r="T1336" s="493"/>
      <c r="U1336" s="493"/>
      <c r="V1336" s="493"/>
      <c r="W1336" s="493"/>
      <c r="X1336" s="493"/>
      <c r="Y1336" s="493"/>
      <c r="Z1336" s="493"/>
      <c r="AA1336" s="493"/>
      <c r="AB1336" s="493"/>
      <c r="AC1336" s="740"/>
      <c r="AD1336" s="741"/>
      <c r="AE1336" s="741"/>
      <c r="AF1336" s="757"/>
      <c r="AG1336" s="740"/>
      <c r="AH1336" s="741"/>
      <c r="AI1336" s="741"/>
      <c r="AJ1336" s="757"/>
      <c r="AK1336" s="449"/>
      <c r="AL1336" s="449"/>
      <c r="AM1336" s="449"/>
      <c r="AN1336" s="449"/>
      <c r="AO1336" s="491"/>
      <c r="AP1336" s="491"/>
      <c r="AQ1336" s="491"/>
      <c r="AR1336" s="492"/>
    </row>
    <row r="1337" spans="3:44" ht="18" customHeight="1">
      <c r="C1337" s="758"/>
      <c r="D1337" s="759"/>
      <c r="E1337" s="760"/>
      <c r="F1337" s="796"/>
      <c r="G1337" s="797"/>
      <c r="H1337" s="797"/>
      <c r="I1337" s="797"/>
      <c r="J1337" s="797"/>
      <c r="K1337" s="797"/>
      <c r="L1337" s="797"/>
      <c r="M1337" s="797"/>
      <c r="N1337" s="797"/>
      <c r="O1337" s="797"/>
      <c r="P1337" s="797"/>
      <c r="Q1337" s="797"/>
      <c r="R1337" s="797"/>
      <c r="S1337" s="797"/>
      <c r="T1337" s="797"/>
      <c r="U1337" s="797"/>
      <c r="V1337" s="797"/>
      <c r="W1337" s="797"/>
      <c r="X1337" s="797"/>
      <c r="Y1337" s="797"/>
      <c r="Z1337" s="797"/>
      <c r="AA1337" s="797"/>
      <c r="AB1337" s="798"/>
      <c r="AC1337" s="740"/>
      <c r="AD1337" s="741"/>
      <c r="AE1337" s="741"/>
      <c r="AF1337" s="757"/>
      <c r="AG1337" s="740"/>
      <c r="AH1337" s="741"/>
      <c r="AI1337" s="741"/>
      <c r="AJ1337" s="757"/>
      <c r="AK1337" s="740"/>
      <c r="AL1337" s="741"/>
      <c r="AM1337" s="741"/>
      <c r="AN1337" s="757"/>
      <c r="AO1337" s="466"/>
      <c r="AP1337" s="467"/>
      <c r="AQ1337" s="467"/>
      <c r="AR1337" s="823"/>
    </row>
    <row r="1338" spans="3:44" ht="18" customHeight="1">
      <c r="C1338" s="758"/>
      <c r="D1338" s="759"/>
      <c r="E1338" s="760"/>
      <c r="F1338" s="796"/>
      <c r="G1338" s="797"/>
      <c r="H1338" s="797"/>
      <c r="I1338" s="797"/>
      <c r="J1338" s="797"/>
      <c r="K1338" s="797"/>
      <c r="L1338" s="797"/>
      <c r="M1338" s="797"/>
      <c r="N1338" s="797"/>
      <c r="O1338" s="797"/>
      <c r="P1338" s="797"/>
      <c r="Q1338" s="797"/>
      <c r="R1338" s="797"/>
      <c r="S1338" s="797"/>
      <c r="T1338" s="797"/>
      <c r="U1338" s="797"/>
      <c r="V1338" s="797"/>
      <c r="W1338" s="797"/>
      <c r="X1338" s="797"/>
      <c r="Y1338" s="797"/>
      <c r="Z1338" s="797"/>
      <c r="AA1338" s="797"/>
      <c r="AB1338" s="798"/>
      <c r="AC1338" s="740"/>
      <c r="AD1338" s="741"/>
      <c r="AE1338" s="741"/>
      <c r="AF1338" s="757"/>
      <c r="AG1338" s="740"/>
      <c r="AH1338" s="741"/>
      <c r="AI1338" s="741"/>
      <c r="AJ1338" s="757"/>
      <c r="AK1338" s="740"/>
      <c r="AL1338" s="741"/>
      <c r="AM1338" s="741"/>
      <c r="AN1338" s="757"/>
      <c r="AO1338" s="466"/>
      <c r="AP1338" s="467"/>
      <c r="AQ1338" s="467"/>
      <c r="AR1338" s="823"/>
    </row>
    <row r="1339" spans="3:44" ht="18" customHeight="1">
      <c r="C1339" s="758"/>
      <c r="D1339" s="759"/>
      <c r="E1339" s="760"/>
      <c r="F1339" s="796"/>
      <c r="G1339" s="797"/>
      <c r="H1339" s="797"/>
      <c r="I1339" s="797"/>
      <c r="J1339" s="797"/>
      <c r="K1339" s="797"/>
      <c r="L1339" s="797"/>
      <c r="M1339" s="797"/>
      <c r="N1339" s="797"/>
      <c r="O1339" s="797"/>
      <c r="P1339" s="797"/>
      <c r="Q1339" s="797"/>
      <c r="R1339" s="797"/>
      <c r="S1339" s="797"/>
      <c r="T1339" s="797"/>
      <c r="U1339" s="797"/>
      <c r="V1339" s="797"/>
      <c r="W1339" s="797"/>
      <c r="X1339" s="797"/>
      <c r="Y1339" s="797"/>
      <c r="Z1339" s="797"/>
      <c r="AA1339" s="797"/>
      <c r="AB1339" s="798"/>
      <c r="AC1339" s="740"/>
      <c r="AD1339" s="741"/>
      <c r="AE1339" s="741"/>
      <c r="AF1339" s="757"/>
      <c r="AG1339" s="740"/>
      <c r="AH1339" s="741"/>
      <c r="AI1339" s="741"/>
      <c r="AJ1339" s="757"/>
      <c r="AK1339" s="740"/>
      <c r="AL1339" s="741"/>
      <c r="AM1339" s="741"/>
      <c r="AN1339" s="757"/>
      <c r="AO1339" s="466"/>
      <c r="AP1339" s="467"/>
      <c r="AQ1339" s="467"/>
      <c r="AR1339" s="823"/>
    </row>
    <row r="1340" spans="3:44" ht="18" customHeight="1">
      <c r="C1340" s="758"/>
      <c r="D1340" s="759"/>
      <c r="E1340" s="760"/>
      <c r="F1340" s="796"/>
      <c r="G1340" s="797"/>
      <c r="H1340" s="797"/>
      <c r="I1340" s="797"/>
      <c r="J1340" s="797"/>
      <c r="K1340" s="797"/>
      <c r="L1340" s="797"/>
      <c r="M1340" s="797"/>
      <c r="N1340" s="797"/>
      <c r="O1340" s="797"/>
      <c r="P1340" s="797"/>
      <c r="Q1340" s="797"/>
      <c r="R1340" s="797"/>
      <c r="S1340" s="797"/>
      <c r="T1340" s="797"/>
      <c r="U1340" s="797"/>
      <c r="V1340" s="797"/>
      <c r="W1340" s="797"/>
      <c r="X1340" s="797"/>
      <c r="Y1340" s="797"/>
      <c r="Z1340" s="797"/>
      <c r="AA1340" s="797"/>
      <c r="AB1340" s="798"/>
      <c r="AC1340" s="740"/>
      <c r="AD1340" s="741"/>
      <c r="AE1340" s="741"/>
      <c r="AF1340" s="757"/>
      <c r="AG1340" s="740"/>
      <c r="AH1340" s="741"/>
      <c r="AI1340" s="741"/>
      <c r="AJ1340" s="757"/>
      <c r="AK1340" s="740"/>
      <c r="AL1340" s="741"/>
      <c r="AM1340" s="741"/>
      <c r="AN1340" s="757"/>
      <c r="AO1340" s="466"/>
      <c r="AP1340" s="467"/>
      <c r="AQ1340" s="467"/>
      <c r="AR1340" s="823"/>
    </row>
    <row r="1341" spans="3:44" ht="18" customHeight="1">
      <c r="C1341" s="758"/>
      <c r="D1341" s="759"/>
      <c r="E1341" s="760"/>
      <c r="F1341" s="796"/>
      <c r="G1341" s="797"/>
      <c r="H1341" s="797"/>
      <c r="I1341" s="797"/>
      <c r="J1341" s="797"/>
      <c r="K1341" s="797"/>
      <c r="L1341" s="797"/>
      <c r="M1341" s="797"/>
      <c r="N1341" s="797"/>
      <c r="O1341" s="797"/>
      <c r="P1341" s="797"/>
      <c r="Q1341" s="797"/>
      <c r="R1341" s="797"/>
      <c r="S1341" s="797"/>
      <c r="T1341" s="797"/>
      <c r="U1341" s="797"/>
      <c r="V1341" s="797"/>
      <c r="W1341" s="797"/>
      <c r="X1341" s="797"/>
      <c r="Y1341" s="797"/>
      <c r="Z1341" s="797"/>
      <c r="AA1341" s="797"/>
      <c r="AB1341" s="798"/>
      <c r="AC1341" s="740"/>
      <c r="AD1341" s="741"/>
      <c r="AE1341" s="741"/>
      <c r="AF1341" s="757"/>
      <c r="AG1341" s="740"/>
      <c r="AH1341" s="741"/>
      <c r="AI1341" s="741"/>
      <c r="AJ1341" s="757"/>
      <c r="AK1341" s="740"/>
      <c r="AL1341" s="741"/>
      <c r="AM1341" s="741"/>
      <c r="AN1341" s="757"/>
      <c r="AO1341" s="466"/>
      <c r="AP1341" s="467"/>
      <c r="AQ1341" s="467"/>
      <c r="AR1341" s="823"/>
    </row>
    <row r="1342" spans="3:44" ht="18" customHeight="1">
      <c r="C1342" s="758"/>
      <c r="D1342" s="759"/>
      <c r="E1342" s="760"/>
      <c r="F1342" s="796"/>
      <c r="G1342" s="797"/>
      <c r="H1342" s="797"/>
      <c r="I1342" s="797"/>
      <c r="J1342" s="797"/>
      <c r="K1342" s="797"/>
      <c r="L1342" s="797"/>
      <c r="M1342" s="797"/>
      <c r="N1342" s="797"/>
      <c r="O1342" s="797"/>
      <c r="P1342" s="797"/>
      <c r="Q1342" s="797"/>
      <c r="R1342" s="797"/>
      <c r="S1342" s="797"/>
      <c r="T1342" s="797"/>
      <c r="U1342" s="797"/>
      <c r="V1342" s="797"/>
      <c r="W1342" s="797"/>
      <c r="X1342" s="797"/>
      <c r="Y1342" s="797"/>
      <c r="Z1342" s="797"/>
      <c r="AA1342" s="797"/>
      <c r="AB1342" s="798"/>
      <c r="AC1342" s="740"/>
      <c r="AD1342" s="741"/>
      <c r="AE1342" s="741"/>
      <c r="AF1342" s="757"/>
      <c r="AG1342" s="740"/>
      <c r="AH1342" s="741"/>
      <c r="AI1342" s="741"/>
      <c r="AJ1342" s="757"/>
      <c r="AK1342" s="740"/>
      <c r="AL1342" s="741"/>
      <c r="AM1342" s="741"/>
      <c r="AN1342" s="757"/>
      <c r="AO1342" s="466"/>
      <c r="AP1342" s="467"/>
      <c r="AQ1342" s="467"/>
      <c r="AR1342" s="823"/>
    </row>
    <row r="1343" spans="3:44" ht="18" customHeight="1">
      <c r="C1343" s="814"/>
      <c r="D1343" s="815"/>
      <c r="E1343" s="815"/>
      <c r="F1343" s="815"/>
      <c r="G1343" s="815"/>
      <c r="H1343" s="815"/>
      <c r="I1343" s="815"/>
      <c r="J1343" s="815"/>
      <c r="K1343" s="815"/>
      <c r="L1343" s="815"/>
      <c r="M1343" s="815"/>
      <c r="N1343" s="815"/>
      <c r="O1343" s="815"/>
      <c r="P1343" s="815"/>
      <c r="Q1343" s="815"/>
      <c r="R1343" s="815"/>
      <c r="S1343" s="815"/>
      <c r="T1343" s="815"/>
      <c r="U1343" s="815"/>
      <c r="V1343" s="815"/>
      <c r="W1343" s="815"/>
      <c r="X1343" s="815"/>
      <c r="Y1343" s="816" t="s">
        <v>78</v>
      </c>
      <c r="Z1343" s="816"/>
      <c r="AA1343" s="816"/>
      <c r="AB1343" s="816"/>
      <c r="AC1343" s="816"/>
      <c r="AD1343" s="816"/>
      <c r="AE1343" s="816"/>
      <c r="AF1343" s="483"/>
      <c r="AG1343" s="817" t="s">
        <v>413</v>
      </c>
      <c r="AH1343" s="818"/>
      <c r="AI1343" s="818"/>
      <c r="AJ1343" s="819"/>
      <c r="AK1343" s="466">
        <f>SUM(AO1335:AR1342)</f>
        <v>264.33</v>
      </c>
      <c r="AL1343" s="467"/>
      <c r="AM1343" s="467"/>
      <c r="AN1343" s="468"/>
      <c r="AO1343" s="820">
        <f>ROUND(AG1343*AK1343,2)</f>
        <v>41</v>
      </c>
      <c r="AP1343" s="821"/>
      <c r="AQ1343" s="821"/>
      <c r="AR1343" s="822"/>
    </row>
    <row r="1344" spans="3:44" ht="18" customHeight="1">
      <c r="C1344" s="743"/>
      <c r="D1344" s="744"/>
      <c r="E1344" s="744"/>
      <c r="F1344" s="744"/>
      <c r="G1344" s="744"/>
      <c r="H1344" s="744"/>
      <c r="I1344" s="744"/>
      <c r="J1344" s="744"/>
      <c r="K1344" s="744"/>
      <c r="L1344" s="744"/>
      <c r="M1344" s="744"/>
      <c r="N1344" s="744"/>
      <c r="O1344" s="744"/>
      <c r="P1344" s="744"/>
      <c r="Q1344" s="744"/>
      <c r="R1344" s="744"/>
      <c r="S1344" s="744"/>
      <c r="T1344" s="744"/>
      <c r="U1344" s="744"/>
      <c r="V1344" s="744"/>
      <c r="W1344" s="744"/>
      <c r="X1344" s="744"/>
      <c r="Y1344" s="745" t="s">
        <v>79</v>
      </c>
      <c r="Z1344" s="745"/>
      <c r="AA1344" s="745"/>
      <c r="AB1344" s="745"/>
      <c r="AC1344" s="745"/>
      <c r="AD1344" s="745"/>
      <c r="AE1344" s="745"/>
      <c r="AF1344" s="745"/>
      <c r="AG1344" s="745"/>
      <c r="AH1344" s="745"/>
      <c r="AI1344" s="745"/>
      <c r="AJ1344" s="745"/>
      <c r="AK1344" s="745"/>
      <c r="AL1344" s="745"/>
      <c r="AM1344" s="745"/>
      <c r="AN1344" s="430"/>
      <c r="AO1344" s="477">
        <f>SUM(AO1335:AR1343)</f>
        <v>305.33</v>
      </c>
      <c r="AP1344" s="746"/>
      <c r="AQ1344" s="746"/>
      <c r="AR1344" s="747"/>
    </row>
    <row r="1346" spans="3:44" ht="18" customHeight="1">
      <c r="C1346" s="802"/>
      <c r="D1346" s="803"/>
      <c r="E1346" s="803"/>
      <c r="F1346" s="803"/>
      <c r="G1346" s="803"/>
      <c r="H1346" s="803"/>
      <c r="I1346" s="803"/>
      <c r="J1346" s="803"/>
      <c r="K1346" s="803"/>
      <c r="L1346" s="803"/>
      <c r="M1346" s="803"/>
      <c r="N1346" s="803"/>
      <c r="O1346" s="803"/>
      <c r="P1346" s="803"/>
      <c r="Q1346" s="803"/>
      <c r="R1346" s="803"/>
      <c r="S1346" s="803"/>
      <c r="T1346" s="803"/>
      <c r="U1346" s="803"/>
      <c r="V1346" s="803"/>
      <c r="W1346" s="803"/>
      <c r="X1346" s="803"/>
      <c r="Y1346" s="804" t="s">
        <v>80</v>
      </c>
      <c r="Z1346" s="805"/>
      <c r="AA1346" s="805"/>
      <c r="AB1346" s="805"/>
      <c r="AC1346" s="805"/>
      <c r="AD1346" s="805"/>
      <c r="AE1346" s="805"/>
      <c r="AF1346" s="805"/>
      <c r="AG1346" s="805"/>
      <c r="AH1346" s="805"/>
      <c r="AI1346" s="805"/>
      <c r="AJ1346" s="805"/>
      <c r="AK1346" s="805"/>
      <c r="AL1346" s="805"/>
      <c r="AM1346" s="805"/>
      <c r="AN1346" s="806"/>
      <c r="AO1346" s="807">
        <f>AO1331+AO1344</f>
        <v>345.37</v>
      </c>
      <c r="AP1346" s="808"/>
      <c r="AQ1346" s="808"/>
      <c r="AR1346" s="809"/>
    </row>
    <row r="1347" spans="3:44" ht="18" customHeight="1">
      <c r="C1347" s="810" t="s">
        <v>81</v>
      </c>
      <c r="D1347" s="745"/>
      <c r="E1347" s="745"/>
      <c r="F1347" s="745"/>
      <c r="G1347" s="745"/>
      <c r="H1347" s="745"/>
      <c r="I1347" s="745"/>
      <c r="J1347" s="745"/>
      <c r="K1347" s="745"/>
      <c r="L1347" s="745"/>
      <c r="M1347" s="745"/>
      <c r="N1347" s="745"/>
      <c r="O1347" s="745"/>
      <c r="P1347" s="430"/>
      <c r="Q1347" s="477">
        <v>1</v>
      </c>
      <c r="R1347" s="746"/>
      <c r="S1347" s="746"/>
      <c r="T1347" s="746"/>
      <c r="U1347" s="746"/>
      <c r="V1347" s="745" t="s">
        <v>194</v>
      </c>
      <c r="W1347" s="745"/>
      <c r="X1347" s="430"/>
      <c r="Y1347" s="804" t="s">
        <v>82</v>
      </c>
      <c r="Z1347" s="805"/>
      <c r="AA1347" s="805"/>
      <c r="AB1347" s="805"/>
      <c r="AC1347" s="805"/>
      <c r="AD1347" s="805"/>
      <c r="AE1347" s="805"/>
      <c r="AF1347" s="805"/>
      <c r="AG1347" s="805"/>
      <c r="AH1347" s="805"/>
      <c r="AI1347" s="805"/>
      <c r="AJ1347" s="805"/>
      <c r="AK1347" s="805"/>
      <c r="AL1347" s="805"/>
      <c r="AM1347" s="805"/>
      <c r="AN1347" s="806"/>
      <c r="AO1347" s="811">
        <f>ROUND(AO1346/Q1347,2)</f>
        <v>345.37</v>
      </c>
      <c r="AP1347" s="812"/>
      <c r="AQ1347" s="812"/>
      <c r="AR1347" s="813"/>
    </row>
    <row r="1349" spans="3:44" ht="18" customHeight="1">
      <c r="C1349" s="794" t="s">
        <v>43</v>
      </c>
      <c r="D1349" s="774"/>
      <c r="E1349" s="775"/>
      <c r="F1349" s="773" t="s">
        <v>83</v>
      </c>
      <c r="G1349" s="774"/>
      <c r="H1349" s="774"/>
      <c r="I1349" s="774"/>
      <c r="J1349" s="774"/>
      <c r="K1349" s="774"/>
      <c r="L1349" s="774"/>
      <c r="M1349" s="774"/>
      <c r="N1349" s="774"/>
      <c r="O1349" s="774"/>
      <c r="P1349" s="774"/>
      <c r="Q1349" s="774"/>
      <c r="R1349" s="774"/>
      <c r="S1349" s="774"/>
      <c r="T1349" s="774"/>
      <c r="U1349" s="774"/>
      <c r="V1349" s="774"/>
      <c r="W1349" s="774"/>
      <c r="X1349" s="774"/>
      <c r="Y1349" s="774"/>
      <c r="Z1349" s="774"/>
      <c r="AA1349" s="774"/>
      <c r="AB1349" s="775"/>
      <c r="AC1349" s="773" t="s">
        <v>84</v>
      </c>
      <c r="AD1349" s="774"/>
      <c r="AE1349" s="774"/>
      <c r="AF1349" s="775"/>
      <c r="AG1349" s="773" t="s">
        <v>85</v>
      </c>
      <c r="AH1349" s="774"/>
      <c r="AI1349" s="774"/>
      <c r="AJ1349" s="775"/>
      <c r="AK1349" s="773" t="s">
        <v>86</v>
      </c>
      <c r="AL1349" s="774"/>
      <c r="AM1349" s="774"/>
      <c r="AN1349" s="775"/>
      <c r="AO1349" s="773" t="s">
        <v>87</v>
      </c>
      <c r="AP1349" s="774"/>
      <c r="AQ1349" s="774"/>
      <c r="AR1349" s="779"/>
    </row>
    <row r="1350" spans="3:44" ht="18" customHeight="1">
      <c r="C1350" s="795"/>
      <c r="D1350" s="777"/>
      <c r="E1350" s="778"/>
      <c r="F1350" s="776"/>
      <c r="G1350" s="777"/>
      <c r="H1350" s="777"/>
      <c r="I1350" s="777"/>
      <c r="J1350" s="777"/>
      <c r="K1350" s="777"/>
      <c r="L1350" s="777"/>
      <c r="M1350" s="777"/>
      <c r="N1350" s="777"/>
      <c r="O1350" s="777"/>
      <c r="P1350" s="777"/>
      <c r="Q1350" s="777"/>
      <c r="R1350" s="777"/>
      <c r="S1350" s="777"/>
      <c r="T1350" s="777"/>
      <c r="U1350" s="777"/>
      <c r="V1350" s="777"/>
      <c r="W1350" s="777"/>
      <c r="X1350" s="777"/>
      <c r="Y1350" s="777"/>
      <c r="Z1350" s="777"/>
      <c r="AA1350" s="777"/>
      <c r="AB1350" s="778"/>
      <c r="AC1350" s="776"/>
      <c r="AD1350" s="777"/>
      <c r="AE1350" s="777"/>
      <c r="AF1350" s="778"/>
      <c r="AG1350" s="776"/>
      <c r="AH1350" s="777"/>
      <c r="AI1350" s="777"/>
      <c r="AJ1350" s="778"/>
      <c r="AK1350" s="776"/>
      <c r="AL1350" s="777"/>
      <c r="AM1350" s="777"/>
      <c r="AN1350" s="778"/>
      <c r="AO1350" s="776"/>
      <c r="AP1350" s="777"/>
      <c r="AQ1350" s="777"/>
      <c r="AR1350" s="780"/>
    </row>
    <row r="1351" spans="3:44" ht="18" customHeight="1">
      <c r="C1351" s="758" t="s">
        <v>1377</v>
      </c>
      <c r="D1351" s="759"/>
      <c r="E1351" s="760"/>
      <c r="F1351" s="796" t="s">
        <v>417</v>
      </c>
      <c r="G1351" s="797"/>
      <c r="H1351" s="797"/>
      <c r="I1351" s="797"/>
      <c r="J1351" s="797"/>
      <c r="K1351" s="797"/>
      <c r="L1351" s="797"/>
      <c r="M1351" s="797"/>
      <c r="N1351" s="797"/>
      <c r="O1351" s="797"/>
      <c r="P1351" s="797"/>
      <c r="Q1351" s="797"/>
      <c r="R1351" s="797"/>
      <c r="S1351" s="797"/>
      <c r="T1351" s="797"/>
      <c r="U1351" s="797"/>
      <c r="V1351" s="797"/>
      <c r="W1351" s="797"/>
      <c r="X1351" s="797"/>
      <c r="Y1351" s="797"/>
      <c r="Z1351" s="797"/>
      <c r="AA1351" s="797"/>
      <c r="AB1351" s="798"/>
      <c r="AC1351" s="799" t="s">
        <v>245</v>
      </c>
      <c r="AD1351" s="800"/>
      <c r="AE1351" s="800"/>
      <c r="AF1351" s="801"/>
      <c r="AG1351" s="466">
        <f>TRUNC(373.21/1.2031,2)</f>
        <v>310.2</v>
      </c>
      <c r="AH1351" s="467"/>
      <c r="AI1351" s="467"/>
      <c r="AJ1351" s="468"/>
      <c r="AK1351" s="737">
        <v>7</v>
      </c>
      <c r="AL1351" s="738"/>
      <c r="AM1351" s="738"/>
      <c r="AN1351" s="739"/>
      <c r="AO1351" s="740">
        <f>ROUND(AG1351*AK1351,2)</f>
        <v>2171.4</v>
      </c>
      <c r="AP1351" s="741"/>
      <c r="AQ1351" s="741"/>
      <c r="AR1351" s="742"/>
    </row>
    <row r="1352" spans="3:44" ht="18" customHeight="1">
      <c r="C1352" s="758" t="s">
        <v>1376</v>
      </c>
      <c r="D1352" s="759"/>
      <c r="E1352" s="760"/>
      <c r="F1352" s="796" t="s">
        <v>370</v>
      </c>
      <c r="G1352" s="797"/>
      <c r="H1352" s="797"/>
      <c r="I1352" s="797"/>
      <c r="J1352" s="797"/>
      <c r="K1352" s="797"/>
      <c r="L1352" s="797"/>
      <c r="M1352" s="797"/>
      <c r="N1352" s="797"/>
      <c r="O1352" s="797"/>
      <c r="P1352" s="797"/>
      <c r="Q1352" s="797"/>
      <c r="R1352" s="797"/>
      <c r="S1352" s="797"/>
      <c r="T1352" s="797"/>
      <c r="U1352" s="797"/>
      <c r="V1352" s="797"/>
      <c r="W1352" s="797"/>
      <c r="X1352" s="797"/>
      <c r="Y1352" s="797"/>
      <c r="Z1352" s="797"/>
      <c r="AA1352" s="797"/>
      <c r="AB1352" s="798"/>
      <c r="AC1352" s="799" t="s">
        <v>309</v>
      </c>
      <c r="AD1352" s="800"/>
      <c r="AE1352" s="800"/>
      <c r="AF1352" s="801"/>
      <c r="AG1352" s="466">
        <f>TRUNC(43.8/1.2031,2)</f>
        <v>36.4</v>
      </c>
      <c r="AH1352" s="467"/>
      <c r="AI1352" s="467"/>
      <c r="AJ1352" s="468"/>
      <c r="AK1352" s="737">
        <v>21</v>
      </c>
      <c r="AL1352" s="738"/>
      <c r="AM1352" s="738"/>
      <c r="AN1352" s="739"/>
      <c r="AO1352" s="740">
        <f>ROUND(AG1352*AK1352,2)</f>
        <v>764.4</v>
      </c>
      <c r="AP1352" s="741"/>
      <c r="AQ1352" s="741"/>
      <c r="AR1352" s="742"/>
    </row>
    <row r="1353" spans="3:44" ht="18" customHeight="1">
      <c r="C1353" s="758"/>
      <c r="D1353" s="759"/>
      <c r="E1353" s="760"/>
      <c r="F1353" s="796"/>
      <c r="G1353" s="797"/>
      <c r="H1353" s="797"/>
      <c r="I1353" s="797"/>
      <c r="J1353" s="797"/>
      <c r="K1353" s="797"/>
      <c r="L1353" s="797"/>
      <c r="M1353" s="797"/>
      <c r="N1353" s="797"/>
      <c r="O1353" s="797"/>
      <c r="P1353" s="797"/>
      <c r="Q1353" s="797"/>
      <c r="R1353" s="797"/>
      <c r="S1353" s="797"/>
      <c r="T1353" s="797"/>
      <c r="U1353" s="797"/>
      <c r="V1353" s="797"/>
      <c r="W1353" s="797"/>
      <c r="X1353" s="797"/>
      <c r="Y1353" s="797"/>
      <c r="Z1353" s="797"/>
      <c r="AA1353" s="797"/>
      <c r="AB1353" s="798"/>
      <c r="AC1353" s="799"/>
      <c r="AD1353" s="800"/>
      <c r="AE1353" s="800"/>
      <c r="AF1353" s="801"/>
      <c r="AG1353" s="466"/>
      <c r="AH1353" s="467"/>
      <c r="AI1353" s="467"/>
      <c r="AJ1353" s="468"/>
      <c r="AK1353" s="737"/>
      <c r="AL1353" s="738"/>
      <c r="AM1353" s="738"/>
      <c r="AN1353" s="739"/>
      <c r="AO1353" s="740"/>
      <c r="AP1353" s="741"/>
      <c r="AQ1353" s="741"/>
      <c r="AR1353" s="742"/>
    </row>
    <row r="1354" spans="3:44" ht="18" customHeight="1">
      <c r="C1354" s="758"/>
      <c r="D1354" s="759"/>
      <c r="E1354" s="760"/>
      <c r="F1354" s="796"/>
      <c r="G1354" s="797"/>
      <c r="H1354" s="797"/>
      <c r="I1354" s="797"/>
      <c r="J1354" s="797"/>
      <c r="K1354" s="797"/>
      <c r="L1354" s="797"/>
      <c r="M1354" s="797"/>
      <c r="N1354" s="797"/>
      <c r="O1354" s="797"/>
      <c r="P1354" s="797"/>
      <c r="Q1354" s="797"/>
      <c r="R1354" s="797"/>
      <c r="S1354" s="797"/>
      <c r="T1354" s="797"/>
      <c r="U1354" s="797"/>
      <c r="V1354" s="797"/>
      <c r="W1354" s="797"/>
      <c r="X1354" s="797"/>
      <c r="Y1354" s="797"/>
      <c r="Z1354" s="797"/>
      <c r="AA1354" s="797"/>
      <c r="AB1354" s="798"/>
      <c r="AC1354" s="799"/>
      <c r="AD1354" s="800"/>
      <c r="AE1354" s="800"/>
      <c r="AF1354" s="801"/>
      <c r="AG1354" s="466"/>
      <c r="AH1354" s="467"/>
      <c r="AI1354" s="467"/>
      <c r="AJ1354" s="468"/>
      <c r="AK1354" s="737"/>
      <c r="AL1354" s="738"/>
      <c r="AM1354" s="738"/>
      <c r="AN1354" s="739"/>
      <c r="AO1354" s="740"/>
      <c r="AP1354" s="741"/>
      <c r="AQ1354" s="741"/>
      <c r="AR1354" s="742"/>
    </row>
    <row r="1355" spans="3:44" ht="18" customHeight="1">
      <c r="C1355" s="758"/>
      <c r="D1355" s="759"/>
      <c r="E1355" s="760"/>
      <c r="F1355" s="796"/>
      <c r="G1355" s="797"/>
      <c r="H1355" s="797"/>
      <c r="I1355" s="797"/>
      <c r="J1355" s="797"/>
      <c r="K1355" s="797"/>
      <c r="L1355" s="797"/>
      <c r="M1355" s="797"/>
      <c r="N1355" s="797"/>
      <c r="O1355" s="797"/>
      <c r="P1355" s="797"/>
      <c r="Q1355" s="797"/>
      <c r="R1355" s="797"/>
      <c r="S1355" s="797"/>
      <c r="T1355" s="797"/>
      <c r="U1355" s="797"/>
      <c r="V1355" s="797"/>
      <c r="W1355" s="797"/>
      <c r="X1355" s="797"/>
      <c r="Y1355" s="797"/>
      <c r="Z1355" s="797"/>
      <c r="AA1355" s="797"/>
      <c r="AB1355" s="798"/>
      <c r="AC1355" s="799"/>
      <c r="AD1355" s="800"/>
      <c r="AE1355" s="800"/>
      <c r="AF1355" s="801"/>
      <c r="AG1355" s="466"/>
      <c r="AH1355" s="467"/>
      <c r="AI1355" s="467"/>
      <c r="AJ1355" s="468"/>
      <c r="AK1355" s="737"/>
      <c r="AL1355" s="738"/>
      <c r="AM1355" s="738"/>
      <c r="AN1355" s="739"/>
      <c r="AO1355" s="740"/>
      <c r="AP1355" s="741"/>
      <c r="AQ1355" s="741"/>
      <c r="AR1355" s="742"/>
    </row>
    <row r="1356" spans="3:44" ht="18" customHeight="1">
      <c r="C1356" s="758"/>
      <c r="D1356" s="759"/>
      <c r="E1356" s="760"/>
      <c r="F1356" s="796"/>
      <c r="G1356" s="797"/>
      <c r="H1356" s="797"/>
      <c r="I1356" s="797"/>
      <c r="J1356" s="797"/>
      <c r="K1356" s="797"/>
      <c r="L1356" s="797"/>
      <c r="M1356" s="797"/>
      <c r="N1356" s="797"/>
      <c r="O1356" s="797"/>
      <c r="P1356" s="797"/>
      <c r="Q1356" s="797"/>
      <c r="R1356" s="797"/>
      <c r="S1356" s="797"/>
      <c r="T1356" s="797"/>
      <c r="U1356" s="797"/>
      <c r="V1356" s="797"/>
      <c r="W1356" s="797"/>
      <c r="X1356" s="797"/>
      <c r="Y1356" s="797"/>
      <c r="Z1356" s="797"/>
      <c r="AA1356" s="797"/>
      <c r="AB1356" s="798"/>
      <c r="AC1356" s="799"/>
      <c r="AD1356" s="800"/>
      <c r="AE1356" s="800"/>
      <c r="AF1356" s="801"/>
      <c r="AG1356" s="466"/>
      <c r="AH1356" s="467"/>
      <c r="AI1356" s="467"/>
      <c r="AJ1356" s="468"/>
      <c r="AK1356" s="737"/>
      <c r="AL1356" s="738"/>
      <c r="AM1356" s="738"/>
      <c r="AN1356" s="739"/>
      <c r="AO1356" s="740"/>
      <c r="AP1356" s="741"/>
      <c r="AQ1356" s="741"/>
      <c r="AR1356" s="742"/>
    </row>
    <row r="1357" spans="3:44" ht="18" customHeight="1">
      <c r="C1357" s="758"/>
      <c r="D1357" s="759"/>
      <c r="E1357" s="760"/>
      <c r="F1357" s="796"/>
      <c r="G1357" s="797"/>
      <c r="H1357" s="797"/>
      <c r="I1357" s="797"/>
      <c r="J1357" s="797"/>
      <c r="K1357" s="797"/>
      <c r="L1357" s="797"/>
      <c r="M1357" s="797"/>
      <c r="N1357" s="797"/>
      <c r="O1357" s="797"/>
      <c r="P1357" s="797"/>
      <c r="Q1357" s="797"/>
      <c r="R1357" s="797"/>
      <c r="S1357" s="797"/>
      <c r="T1357" s="797"/>
      <c r="U1357" s="797"/>
      <c r="V1357" s="797"/>
      <c r="W1357" s="797"/>
      <c r="X1357" s="797"/>
      <c r="Y1357" s="797"/>
      <c r="Z1357" s="797"/>
      <c r="AA1357" s="797"/>
      <c r="AB1357" s="798"/>
      <c r="AC1357" s="799"/>
      <c r="AD1357" s="800"/>
      <c r="AE1357" s="800"/>
      <c r="AF1357" s="801"/>
      <c r="AG1357" s="466"/>
      <c r="AH1357" s="467"/>
      <c r="AI1357" s="467"/>
      <c r="AJ1357" s="468"/>
      <c r="AK1357" s="737"/>
      <c r="AL1357" s="738"/>
      <c r="AM1357" s="738"/>
      <c r="AN1357" s="739"/>
      <c r="AO1357" s="740"/>
      <c r="AP1357" s="741"/>
      <c r="AQ1357" s="741"/>
      <c r="AR1357" s="742"/>
    </row>
    <row r="1358" spans="3:44" ht="18" customHeight="1">
      <c r="C1358" s="758"/>
      <c r="D1358" s="759"/>
      <c r="E1358" s="760"/>
      <c r="F1358" s="796"/>
      <c r="G1358" s="797"/>
      <c r="H1358" s="797"/>
      <c r="I1358" s="797"/>
      <c r="J1358" s="797"/>
      <c r="K1358" s="797"/>
      <c r="L1358" s="797"/>
      <c r="M1358" s="797"/>
      <c r="N1358" s="797"/>
      <c r="O1358" s="797"/>
      <c r="P1358" s="797"/>
      <c r="Q1358" s="797"/>
      <c r="R1358" s="797"/>
      <c r="S1358" s="797"/>
      <c r="T1358" s="797"/>
      <c r="U1358" s="797"/>
      <c r="V1358" s="797"/>
      <c r="W1358" s="797"/>
      <c r="X1358" s="797"/>
      <c r="Y1358" s="797"/>
      <c r="Z1358" s="797"/>
      <c r="AA1358" s="797"/>
      <c r="AB1358" s="798"/>
      <c r="AC1358" s="799"/>
      <c r="AD1358" s="800"/>
      <c r="AE1358" s="800"/>
      <c r="AF1358" s="801"/>
      <c r="AG1358" s="466"/>
      <c r="AH1358" s="467"/>
      <c r="AI1358" s="467"/>
      <c r="AJ1358" s="468"/>
      <c r="AK1358" s="737"/>
      <c r="AL1358" s="738"/>
      <c r="AM1358" s="738"/>
      <c r="AN1358" s="739"/>
      <c r="AO1358" s="740"/>
      <c r="AP1358" s="741"/>
      <c r="AQ1358" s="741"/>
      <c r="AR1358" s="742"/>
    </row>
    <row r="1359" spans="3:44" ht="18" customHeight="1">
      <c r="C1359" s="743"/>
      <c r="D1359" s="744"/>
      <c r="E1359" s="744"/>
      <c r="F1359" s="744"/>
      <c r="G1359" s="744"/>
      <c r="H1359" s="744"/>
      <c r="I1359" s="744"/>
      <c r="J1359" s="744"/>
      <c r="K1359" s="744"/>
      <c r="L1359" s="744"/>
      <c r="M1359" s="744"/>
      <c r="N1359" s="744"/>
      <c r="O1359" s="744"/>
      <c r="P1359" s="744"/>
      <c r="Q1359" s="744"/>
      <c r="R1359" s="744"/>
      <c r="S1359" s="744"/>
      <c r="T1359" s="744"/>
      <c r="U1359" s="744"/>
      <c r="V1359" s="744"/>
      <c r="W1359" s="744"/>
      <c r="X1359" s="744"/>
      <c r="Y1359" s="745" t="s">
        <v>88</v>
      </c>
      <c r="Z1359" s="745"/>
      <c r="AA1359" s="745"/>
      <c r="AB1359" s="745"/>
      <c r="AC1359" s="745"/>
      <c r="AD1359" s="745"/>
      <c r="AE1359" s="745"/>
      <c r="AF1359" s="745"/>
      <c r="AG1359" s="745"/>
      <c r="AH1359" s="745"/>
      <c r="AI1359" s="745"/>
      <c r="AJ1359" s="745"/>
      <c r="AK1359" s="745"/>
      <c r="AL1359" s="745"/>
      <c r="AM1359" s="745"/>
      <c r="AN1359" s="430"/>
      <c r="AO1359" s="477">
        <f>SUM(AO1351:AR1358)</f>
        <v>2935.8</v>
      </c>
      <c r="AP1359" s="746"/>
      <c r="AQ1359" s="746"/>
      <c r="AR1359" s="747"/>
    </row>
    <row r="1361" spans="1:44" ht="18" customHeight="1">
      <c r="C1361" s="794" t="s">
        <v>43</v>
      </c>
      <c r="D1361" s="774"/>
      <c r="E1361" s="775"/>
      <c r="F1361" s="773" t="s">
        <v>89</v>
      </c>
      <c r="G1361" s="774"/>
      <c r="H1361" s="774"/>
      <c r="I1361" s="774"/>
      <c r="J1361" s="774"/>
      <c r="K1361" s="774"/>
      <c r="L1361" s="774"/>
      <c r="M1361" s="774"/>
      <c r="N1361" s="774"/>
      <c r="O1361" s="774"/>
      <c r="P1361" s="774"/>
      <c r="Q1361" s="774"/>
      <c r="R1361" s="775"/>
      <c r="S1361" s="773" t="s">
        <v>90</v>
      </c>
      <c r="T1361" s="774"/>
      <c r="U1361" s="775"/>
      <c r="V1361" s="773" t="s">
        <v>91</v>
      </c>
      <c r="W1361" s="774"/>
      <c r="X1361" s="775"/>
      <c r="Y1361" s="773" t="s">
        <v>92</v>
      </c>
      <c r="Z1361" s="774"/>
      <c r="AA1361" s="774"/>
      <c r="AB1361" s="774"/>
      <c r="AC1361" s="774"/>
      <c r="AD1361" s="775"/>
      <c r="AE1361" s="773" t="s">
        <v>93</v>
      </c>
      <c r="AF1361" s="774"/>
      <c r="AG1361" s="775"/>
      <c r="AH1361" s="773" t="s">
        <v>94</v>
      </c>
      <c r="AI1361" s="774"/>
      <c r="AJ1361" s="775"/>
      <c r="AK1361" s="773" t="s">
        <v>86</v>
      </c>
      <c r="AL1361" s="774"/>
      <c r="AM1361" s="774"/>
      <c r="AN1361" s="775"/>
      <c r="AO1361" s="773" t="s">
        <v>87</v>
      </c>
      <c r="AP1361" s="774"/>
      <c r="AQ1361" s="774"/>
      <c r="AR1361" s="779"/>
    </row>
    <row r="1362" spans="1:44" ht="18" customHeight="1">
      <c r="C1362" s="795"/>
      <c r="D1362" s="777"/>
      <c r="E1362" s="778"/>
      <c r="F1362" s="776"/>
      <c r="G1362" s="777"/>
      <c r="H1362" s="777"/>
      <c r="I1362" s="777"/>
      <c r="J1362" s="777"/>
      <c r="K1362" s="777"/>
      <c r="L1362" s="777"/>
      <c r="M1362" s="777"/>
      <c r="N1362" s="777"/>
      <c r="O1362" s="777"/>
      <c r="P1362" s="777"/>
      <c r="Q1362" s="777"/>
      <c r="R1362" s="778"/>
      <c r="S1362" s="776"/>
      <c r="T1362" s="777"/>
      <c r="U1362" s="778"/>
      <c r="V1362" s="776"/>
      <c r="W1362" s="777"/>
      <c r="X1362" s="778"/>
      <c r="Y1362" s="776"/>
      <c r="Z1362" s="777"/>
      <c r="AA1362" s="777"/>
      <c r="AB1362" s="777"/>
      <c r="AC1362" s="777"/>
      <c r="AD1362" s="778"/>
      <c r="AE1362" s="776"/>
      <c r="AF1362" s="777"/>
      <c r="AG1362" s="778"/>
      <c r="AH1362" s="776"/>
      <c r="AI1362" s="777"/>
      <c r="AJ1362" s="778"/>
      <c r="AK1362" s="776"/>
      <c r="AL1362" s="777"/>
      <c r="AM1362" s="777"/>
      <c r="AN1362" s="778"/>
      <c r="AO1362" s="776"/>
      <c r="AP1362" s="777"/>
      <c r="AQ1362" s="777"/>
      <c r="AR1362" s="780"/>
    </row>
    <row r="1363" spans="1:44" ht="18" customHeight="1">
      <c r="C1363" s="781"/>
      <c r="D1363" s="782"/>
      <c r="E1363" s="783"/>
      <c r="F1363" s="457"/>
      <c r="G1363" s="457"/>
      <c r="H1363" s="457"/>
      <c r="I1363" s="457"/>
      <c r="J1363" s="457"/>
      <c r="K1363" s="457"/>
      <c r="L1363" s="457"/>
      <c r="M1363" s="457"/>
      <c r="N1363" s="457"/>
      <c r="O1363" s="457"/>
      <c r="P1363" s="457"/>
      <c r="Q1363" s="457"/>
      <c r="R1363" s="457"/>
      <c r="S1363" s="784"/>
      <c r="T1363" s="785"/>
      <c r="U1363" s="786"/>
      <c r="V1363" s="784"/>
      <c r="W1363" s="785"/>
      <c r="X1363" s="786"/>
      <c r="Y1363" s="787"/>
      <c r="Z1363" s="788"/>
      <c r="AA1363" s="788"/>
      <c r="AB1363" s="788"/>
      <c r="AC1363" s="788"/>
      <c r="AD1363" s="789"/>
      <c r="AE1363" s="449"/>
      <c r="AF1363" s="449"/>
      <c r="AG1363" s="449"/>
      <c r="AH1363" s="770"/>
      <c r="AI1363" s="771"/>
      <c r="AJ1363" s="790"/>
      <c r="AK1363" s="791"/>
      <c r="AL1363" s="792"/>
      <c r="AM1363" s="792"/>
      <c r="AN1363" s="793"/>
      <c r="AO1363" s="770"/>
      <c r="AP1363" s="771"/>
      <c r="AQ1363" s="771"/>
      <c r="AR1363" s="772"/>
    </row>
    <row r="1364" spans="1:44" ht="18" customHeight="1">
      <c r="C1364" s="758"/>
      <c r="D1364" s="759"/>
      <c r="E1364" s="760"/>
      <c r="F1364" s="761"/>
      <c r="G1364" s="762"/>
      <c r="H1364" s="762"/>
      <c r="I1364" s="762"/>
      <c r="J1364" s="762"/>
      <c r="K1364" s="762"/>
      <c r="L1364" s="762"/>
      <c r="M1364" s="762"/>
      <c r="N1364" s="762"/>
      <c r="O1364" s="762"/>
      <c r="P1364" s="762"/>
      <c r="Q1364" s="762"/>
      <c r="R1364" s="763"/>
      <c r="S1364" s="764"/>
      <c r="T1364" s="765"/>
      <c r="U1364" s="766"/>
      <c r="V1364" s="764"/>
      <c r="W1364" s="765"/>
      <c r="X1364" s="766"/>
      <c r="Y1364" s="767"/>
      <c r="Z1364" s="768"/>
      <c r="AA1364" s="768"/>
      <c r="AB1364" s="768"/>
      <c r="AC1364" s="768"/>
      <c r="AD1364" s="769"/>
      <c r="AE1364" s="740"/>
      <c r="AF1364" s="741"/>
      <c r="AG1364" s="757"/>
      <c r="AH1364" s="740"/>
      <c r="AI1364" s="741"/>
      <c r="AJ1364" s="757"/>
      <c r="AK1364" s="737"/>
      <c r="AL1364" s="738"/>
      <c r="AM1364" s="738"/>
      <c r="AN1364" s="739"/>
      <c r="AO1364" s="740">
        <f t="shared" ref="AO1364:AO1370" si="19">ROUND(AE1364*AH1364*AK1364,2)</f>
        <v>0</v>
      </c>
      <c r="AP1364" s="741"/>
      <c r="AQ1364" s="741"/>
      <c r="AR1364" s="742"/>
    </row>
    <row r="1365" spans="1:44" ht="18" customHeight="1">
      <c r="C1365" s="758"/>
      <c r="D1365" s="759"/>
      <c r="E1365" s="760"/>
      <c r="F1365" s="761"/>
      <c r="G1365" s="762"/>
      <c r="H1365" s="762"/>
      <c r="I1365" s="762"/>
      <c r="J1365" s="762"/>
      <c r="K1365" s="762"/>
      <c r="L1365" s="762"/>
      <c r="M1365" s="762"/>
      <c r="N1365" s="762"/>
      <c r="O1365" s="762"/>
      <c r="P1365" s="762"/>
      <c r="Q1365" s="762"/>
      <c r="R1365" s="763"/>
      <c r="S1365" s="764"/>
      <c r="T1365" s="765"/>
      <c r="U1365" s="766"/>
      <c r="V1365" s="764"/>
      <c r="W1365" s="765"/>
      <c r="X1365" s="766"/>
      <c r="Y1365" s="767"/>
      <c r="Z1365" s="768"/>
      <c r="AA1365" s="768"/>
      <c r="AB1365" s="768"/>
      <c r="AC1365" s="768"/>
      <c r="AD1365" s="769"/>
      <c r="AE1365" s="740"/>
      <c r="AF1365" s="741"/>
      <c r="AG1365" s="757"/>
      <c r="AH1365" s="740"/>
      <c r="AI1365" s="741"/>
      <c r="AJ1365" s="757"/>
      <c r="AK1365" s="737"/>
      <c r="AL1365" s="738"/>
      <c r="AM1365" s="738"/>
      <c r="AN1365" s="739"/>
      <c r="AO1365" s="740">
        <f t="shared" si="19"/>
        <v>0</v>
      </c>
      <c r="AP1365" s="741"/>
      <c r="AQ1365" s="741"/>
      <c r="AR1365" s="742"/>
    </row>
    <row r="1366" spans="1:44" ht="18" customHeight="1">
      <c r="C1366" s="758"/>
      <c r="D1366" s="759"/>
      <c r="E1366" s="760"/>
      <c r="F1366" s="761"/>
      <c r="G1366" s="762"/>
      <c r="H1366" s="762"/>
      <c r="I1366" s="762"/>
      <c r="J1366" s="762"/>
      <c r="K1366" s="762"/>
      <c r="L1366" s="762"/>
      <c r="M1366" s="762"/>
      <c r="N1366" s="762"/>
      <c r="O1366" s="762"/>
      <c r="P1366" s="762"/>
      <c r="Q1366" s="762"/>
      <c r="R1366" s="763"/>
      <c r="S1366" s="764"/>
      <c r="T1366" s="765"/>
      <c r="U1366" s="766"/>
      <c r="V1366" s="764"/>
      <c r="W1366" s="765"/>
      <c r="X1366" s="766"/>
      <c r="Y1366" s="767"/>
      <c r="Z1366" s="768"/>
      <c r="AA1366" s="768"/>
      <c r="AB1366" s="768"/>
      <c r="AC1366" s="768"/>
      <c r="AD1366" s="769"/>
      <c r="AE1366" s="740"/>
      <c r="AF1366" s="741"/>
      <c r="AG1366" s="757"/>
      <c r="AH1366" s="740"/>
      <c r="AI1366" s="741"/>
      <c r="AJ1366" s="757"/>
      <c r="AK1366" s="737"/>
      <c r="AL1366" s="738"/>
      <c r="AM1366" s="738"/>
      <c r="AN1366" s="739"/>
      <c r="AO1366" s="740">
        <f t="shared" si="19"/>
        <v>0</v>
      </c>
      <c r="AP1366" s="741"/>
      <c r="AQ1366" s="741"/>
      <c r="AR1366" s="742"/>
    </row>
    <row r="1367" spans="1:44" ht="18" customHeight="1">
      <c r="C1367" s="758"/>
      <c r="D1367" s="759"/>
      <c r="E1367" s="760"/>
      <c r="F1367" s="761"/>
      <c r="G1367" s="762"/>
      <c r="H1367" s="762"/>
      <c r="I1367" s="762"/>
      <c r="J1367" s="762"/>
      <c r="K1367" s="762"/>
      <c r="L1367" s="762"/>
      <c r="M1367" s="762"/>
      <c r="N1367" s="762"/>
      <c r="O1367" s="762"/>
      <c r="P1367" s="762"/>
      <c r="Q1367" s="762"/>
      <c r="R1367" s="763"/>
      <c r="S1367" s="764"/>
      <c r="T1367" s="765"/>
      <c r="U1367" s="766"/>
      <c r="V1367" s="764"/>
      <c r="W1367" s="765"/>
      <c r="X1367" s="766"/>
      <c r="Y1367" s="767"/>
      <c r="Z1367" s="768"/>
      <c r="AA1367" s="768"/>
      <c r="AB1367" s="768"/>
      <c r="AC1367" s="768"/>
      <c r="AD1367" s="769"/>
      <c r="AE1367" s="740"/>
      <c r="AF1367" s="741"/>
      <c r="AG1367" s="757"/>
      <c r="AH1367" s="740"/>
      <c r="AI1367" s="741"/>
      <c r="AJ1367" s="757"/>
      <c r="AK1367" s="737"/>
      <c r="AL1367" s="738"/>
      <c r="AM1367" s="738"/>
      <c r="AN1367" s="739"/>
      <c r="AO1367" s="740">
        <f t="shared" si="19"/>
        <v>0</v>
      </c>
      <c r="AP1367" s="741"/>
      <c r="AQ1367" s="741"/>
      <c r="AR1367" s="742"/>
    </row>
    <row r="1368" spans="1:44" ht="18" customHeight="1">
      <c r="C1368" s="758"/>
      <c r="D1368" s="759"/>
      <c r="E1368" s="760"/>
      <c r="F1368" s="761"/>
      <c r="G1368" s="762"/>
      <c r="H1368" s="762"/>
      <c r="I1368" s="762"/>
      <c r="J1368" s="762"/>
      <c r="K1368" s="762"/>
      <c r="L1368" s="762"/>
      <c r="M1368" s="762"/>
      <c r="N1368" s="762"/>
      <c r="O1368" s="762"/>
      <c r="P1368" s="762"/>
      <c r="Q1368" s="762"/>
      <c r="R1368" s="763"/>
      <c r="S1368" s="764"/>
      <c r="T1368" s="765"/>
      <c r="U1368" s="766"/>
      <c r="V1368" s="764"/>
      <c r="W1368" s="765"/>
      <c r="X1368" s="766"/>
      <c r="Y1368" s="767"/>
      <c r="Z1368" s="768"/>
      <c r="AA1368" s="768"/>
      <c r="AB1368" s="768"/>
      <c r="AC1368" s="768"/>
      <c r="AD1368" s="769"/>
      <c r="AE1368" s="740"/>
      <c r="AF1368" s="741"/>
      <c r="AG1368" s="757"/>
      <c r="AH1368" s="740"/>
      <c r="AI1368" s="741"/>
      <c r="AJ1368" s="757"/>
      <c r="AK1368" s="737"/>
      <c r="AL1368" s="738"/>
      <c r="AM1368" s="738"/>
      <c r="AN1368" s="739"/>
      <c r="AO1368" s="740">
        <f t="shared" si="19"/>
        <v>0</v>
      </c>
      <c r="AP1368" s="741"/>
      <c r="AQ1368" s="741"/>
      <c r="AR1368" s="742"/>
    </row>
    <row r="1369" spans="1:44" ht="18" customHeight="1">
      <c r="C1369" s="758"/>
      <c r="D1369" s="759"/>
      <c r="E1369" s="760"/>
      <c r="F1369" s="761"/>
      <c r="G1369" s="762"/>
      <c r="H1369" s="762"/>
      <c r="I1369" s="762"/>
      <c r="J1369" s="762"/>
      <c r="K1369" s="762"/>
      <c r="L1369" s="762"/>
      <c r="M1369" s="762"/>
      <c r="N1369" s="762"/>
      <c r="O1369" s="762"/>
      <c r="P1369" s="762"/>
      <c r="Q1369" s="762"/>
      <c r="R1369" s="763"/>
      <c r="S1369" s="764"/>
      <c r="T1369" s="765"/>
      <c r="U1369" s="766"/>
      <c r="V1369" s="764"/>
      <c r="W1369" s="765"/>
      <c r="X1369" s="766"/>
      <c r="Y1369" s="767"/>
      <c r="Z1369" s="768"/>
      <c r="AA1369" s="768"/>
      <c r="AB1369" s="768"/>
      <c r="AC1369" s="768"/>
      <c r="AD1369" s="769"/>
      <c r="AE1369" s="740"/>
      <c r="AF1369" s="741"/>
      <c r="AG1369" s="757"/>
      <c r="AH1369" s="740"/>
      <c r="AI1369" s="741"/>
      <c r="AJ1369" s="757"/>
      <c r="AK1369" s="737"/>
      <c r="AL1369" s="738"/>
      <c r="AM1369" s="738"/>
      <c r="AN1369" s="739"/>
      <c r="AO1369" s="740">
        <f t="shared" si="19"/>
        <v>0</v>
      </c>
      <c r="AP1369" s="741"/>
      <c r="AQ1369" s="741"/>
      <c r="AR1369" s="742"/>
    </row>
    <row r="1370" spans="1:44" ht="18" customHeight="1">
      <c r="C1370" s="758"/>
      <c r="D1370" s="759"/>
      <c r="E1370" s="760"/>
      <c r="F1370" s="761"/>
      <c r="G1370" s="762"/>
      <c r="H1370" s="762"/>
      <c r="I1370" s="762"/>
      <c r="J1370" s="762"/>
      <c r="K1370" s="762"/>
      <c r="L1370" s="762"/>
      <c r="M1370" s="762"/>
      <c r="N1370" s="762"/>
      <c r="O1370" s="762"/>
      <c r="P1370" s="762"/>
      <c r="Q1370" s="762"/>
      <c r="R1370" s="763"/>
      <c r="S1370" s="764"/>
      <c r="T1370" s="765"/>
      <c r="U1370" s="766"/>
      <c r="V1370" s="764"/>
      <c r="W1370" s="765"/>
      <c r="X1370" s="766"/>
      <c r="Y1370" s="767"/>
      <c r="Z1370" s="768"/>
      <c r="AA1370" s="768"/>
      <c r="AB1370" s="768"/>
      <c r="AC1370" s="768"/>
      <c r="AD1370" s="769"/>
      <c r="AE1370" s="740"/>
      <c r="AF1370" s="741"/>
      <c r="AG1370" s="757"/>
      <c r="AH1370" s="740"/>
      <c r="AI1370" s="741"/>
      <c r="AJ1370" s="757"/>
      <c r="AK1370" s="737"/>
      <c r="AL1370" s="738"/>
      <c r="AM1370" s="738"/>
      <c r="AN1370" s="739"/>
      <c r="AO1370" s="740">
        <f t="shared" si="19"/>
        <v>0</v>
      </c>
      <c r="AP1370" s="741"/>
      <c r="AQ1370" s="741"/>
      <c r="AR1370" s="742"/>
    </row>
    <row r="1371" spans="1:44" ht="18" customHeight="1">
      <c r="C1371" s="743"/>
      <c r="D1371" s="744"/>
      <c r="E1371" s="744"/>
      <c r="F1371" s="744"/>
      <c r="G1371" s="744"/>
      <c r="H1371" s="744"/>
      <c r="I1371" s="744"/>
      <c r="J1371" s="744"/>
      <c r="K1371" s="744"/>
      <c r="L1371" s="744"/>
      <c r="M1371" s="744"/>
      <c r="N1371" s="744"/>
      <c r="O1371" s="744"/>
      <c r="P1371" s="744"/>
      <c r="Q1371" s="744"/>
      <c r="R1371" s="744"/>
      <c r="S1371" s="744"/>
      <c r="T1371" s="744"/>
      <c r="U1371" s="744"/>
      <c r="V1371" s="744"/>
      <c r="W1371" s="744"/>
      <c r="X1371" s="744"/>
      <c r="Y1371" s="745" t="s">
        <v>95</v>
      </c>
      <c r="Z1371" s="745"/>
      <c r="AA1371" s="745"/>
      <c r="AB1371" s="745"/>
      <c r="AC1371" s="745"/>
      <c r="AD1371" s="745"/>
      <c r="AE1371" s="745"/>
      <c r="AF1371" s="745"/>
      <c r="AG1371" s="745"/>
      <c r="AH1371" s="745"/>
      <c r="AI1371" s="745"/>
      <c r="AJ1371" s="745"/>
      <c r="AK1371" s="745"/>
      <c r="AL1371" s="745"/>
      <c r="AM1371" s="745"/>
      <c r="AN1371" s="430"/>
      <c r="AO1371" s="477">
        <f>SUM(AO1363:AR1370)</f>
        <v>0</v>
      </c>
      <c r="AP1371" s="746"/>
      <c r="AQ1371" s="746"/>
      <c r="AR1371" s="747"/>
    </row>
    <row r="1373" spans="1:44" ht="18" customHeight="1">
      <c r="C1373" s="434"/>
      <c r="D1373" s="434"/>
      <c r="E1373" s="434"/>
      <c r="F1373" s="434"/>
      <c r="G1373" s="434"/>
      <c r="H1373" s="434"/>
      <c r="I1373" s="434"/>
      <c r="J1373" s="434"/>
      <c r="K1373" s="434"/>
      <c r="L1373" s="434"/>
      <c r="M1373" s="434"/>
      <c r="N1373" s="434"/>
      <c r="O1373" s="434"/>
      <c r="P1373" s="434"/>
      <c r="Q1373" s="434"/>
      <c r="R1373" s="434"/>
      <c r="S1373" s="434"/>
      <c r="T1373" s="434"/>
      <c r="U1373" s="434"/>
      <c r="V1373" s="434"/>
      <c r="W1373" s="434"/>
      <c r="X1373" s="748"/>
      <c r="Y1373" s="749" t="s">
        <v>96</v>
      </c>
      <c r="Z1373" s="750"/>
      <c r="AA1373" s="750"/>
      <c r="AB1373" s="750"/>
      <c r="AC1373" s="750"/>
      <c r="AD1373" s="750"/>
      <c r="AE1373" s="750"/>
      <c r="AF1373" s="750"/>
      <c r="AG1373" s="750"/>
      <c r="AH1373" s="750"/>
      <c r="AI1373" s="750"/>
      <c r="AJ1373" s="750"/>
      <c r="AK1373" s="750"/>
      <c r="AL1373" s="750"/>
      <c r="AM1373" s="750"/>
      <c r="AN1373" s="751"/>
      <c r="AO1373" s="752">
        <f>AO1347+AO1359+AO1371</f>
        <v>3281.17</v>
      </c>
      <c r="AP1373" s="753"/>
      <c r="AQ1373" s="753"/>
      <c r="AR1373" s="754"/>
    </row>
    <row r="1374" spans="1:44" ht="18" customHeight="1">
      <c r="C1374" s="434"/>
      <c r="D1374" s="434"/>
      <c r="E1374" s="434"/>
      <c r="F1374" s="434"/>
      <c r="G1374" s="434"/>
      <c r="H1374" s="434"/>
      <c r="I1374" s="434"/>
      <c r="J1374" s="434"/>
      <c r="K1374" s="434"/>
      <c r="L1374" s="434"/>
      <c r="M1374" s="434"/>
      <c r="N1374" s="434"/>
      <c r="O1374" s="434"/>
      <c r="P1374" s="434"/>
      <c r="Q1374" s="434"/>
      <c r="R1374" s="434"/>
      <c r="S1374" s="434"/>
      <c r="T1374" s="434"/>
      <c r="U1374" s="434"/>
      <c r="V1374" s="434"/>
      <c r="W1374" s="434"/>
      <c r="X1374" s="748"/>
      <c r="Y1374" s="755" t="s">
        <v>97</v>
      </c>
      <c r="Z1374" s="756"/>
      <c r="AA1374" s="756"/>
      <c r="AB1374" s="756"/>
      <c r="AC1374" s="756"/>
      <c r="AD1374" s="756"/>
      <c r="AE1374" s="756"/>
      <c r="AF1374" s="756"/>
      <c r="AG1374" s="756"/>
      <c r="AH1374" s="442">
        <v>0.2031</v>
      </c>
      <c r="AI1374" s="442"/>
      <c r="AJ1374" s="442"/>
      <c r="AK1374" s="442"/>
      <c r="AL1374" s="442"/>
      <c r="AM1374" s="442"/>
      <c r="AN1374" s="443"/>
      <c r="AO1374" s="728">
        <f>ROUND(AO1373*AH1374,2)</f>
        <v>666.41</v>
      </c>
      <c r="AP1374" s="729"/>
      <c r="AQ1374" s="729"/>
      <c r="AR1374" s="730"/>
    </row>
    <row r="1375" spans="1:44" ht="18" customHeight="1">
      <c r="A1375" s="415" t="s">
        <v>1583</v>
      </c>
      <c r="B1375" s="415"/>
      <c r="C1375" s="434"/>
      <c r="D1375" s="434"/>
      <c r="E1375" s="434"/>
      <c r="F1375" s="434"/>
      <c r="G1375" s="434"/>
      <c r="H1375" s="434"/>
      <c r="I1375" s="434"/>
      <c r="J1375" s="434"/>
      <c r="K1375" s="434"/>
      <c r="L1375" s="434"/>
      <c r="M1375" s="434"/>
      <c r="N1375" s="434"/>
      <c r="O1375" s="434"/>
      <c r="P1375" s="434"/>
      <c r="Q1375" s="434"/>
      <c r="R1375" s="434"/>
      <c r="S1375" s="434"/>
      <c r="T1375" s="434"/>
      <c r="U1375" s="434"/>
      <c r="V1375" s="434"/>
      <c r="W1375" s="434"/>
      <c r="X1375" s="748"/>
      <c r="Y1375" s="731" t="s">
        <v>98</v>
      </c>
      <c r="Z1375" s="732"/>
      <c r="AA1375" s="732"/>
      <c r="AB1375" s="732"/>
      <c r="AC1375" s="732"/>
      <c r="AD1375" s="732"/>
      <c r="AE1375" s="732"/>
      <c r="AF1375" s="732"/>
      <c r="AG1375" s="732"/>
      <c r="AH1375" s="732"/>
      <c r="AI1375" s="732"/>
      <c r="AJ1375" s="732"/>
      <c r="AK1375" s="732"/>
      <c r="AL1375" s="732"/>
      <c r="AM1375" s="732"/>
      <c r="AN1375" s="733"/>
      <c r="AO1375" s="734">
        <f>SUM(AO1373:AR1374)</f>
        <v>3947.58</v>
      </c>
      <c r="AP1375" s="735"/>
      <c r="AQ1375" s="735"/>
      <c r="AR1375" s="736"/>
    </row>
    <row r="1377" spans="3:44" ht="18" customHeight="1">
      <c r="C1377" s="420" t="s">
        <v>99</v>
      </c>
      <c r="D1377" s="421"/>
      <c r="E1377" s="421"/>
      <c r="F1377" s="421"/>
      <c r="G1377" s="421"/>
      <c r="H1377" s="421"/>
      <c r="I1377" s="422"/>
      <c r="J1377" s="422"/>
      <c r="K1377" s="422"/>
      <c r="L1377" s="422"/>
      <c r="M1377" s="422"/>
      <c r="N1377" s="422"/>
      <c r="O1377" s="422"/>
      <c r="P1377" s="422"/>
      <c r="Q1377" s="422"/>
      <c r="R1377" s="422"/>
      <c r="S1377" s="422"/>
      <c r="T1377" s="422"/>
      <c r="U1377" s="422"/>
      <c r="V1377" s="422"/>
      <c r="W1377" s="422"/>
      <c r="X1377" s="422"/>
      <c r="Y1377" s="422"/>
      <c r="Z1377" s="422"/>
      <c r="AA1377" s="422"/>
      <c r="AB1377" s="422"/>
      <c r="AC1377" s="422"/>
      <c r="AD1377" s="422"/>
      <c r="AE1377" s="422"/>
      <c r="AF1377" s="422"/>
      <c r="AG1377" s="422"/>
      <c r="AH1377" s="422"/>
      <c r="AI1377" s="422"/>
      <c r="AJ1377" s="422"/>
      <c r="AK1377" s="422"/>
      <c r="AL1377" s="422"/>
      <c r="AM1377" s="422"/>
      <c r="AN1377" s="422"/>
      <c r="AO1377" s="422"/>
      <c r="AP1377" s="422"/>
      <c r="AQ1377" s="422"/>
      <c r="AR1377" s="423"/>
    </row>
    <row r="1378" spans="3:44" ht="18" customHeight="1">
      <c r="C1378" s="411"/>
      <c r="D1378" s="412"/>
      <c r="E1378" s="412"/>
      <c r="F1378" s="412"/>
      <c r="G1378" s="412"/>
      <c r="H1378" s="412"/>
      <c r="I1378" s="409"/>
      <c r="J1378" s="409"/>
      <c r="K1378" s="409"/>
      <c r="L1378" s="409"/>
      <c r="M1378" s="409"/>
      <c r="N1378" s="409"/>
      <c r="O1378" s="409"/>
      <c r="P1378" s="409"/>
      <c r="Q1378" s="409"/>
      <c r="R1378" s="409"/>
      <c r="S1378" s="409"/>
      <c r="T1378" s="409"/>
      <c r="U1378" s="409"/>
      <c r="V1378" s="409"/>
      <c r="W1378" s="409"/>
      <c r="X1378" s="409"/>
      <c r="Y1378" s="409"/>
      <c r="Z1378" s="409"/>
      <c r="AA1378" s="409"/>
      <c r="AB1378" s="409"/>
      <c r="AC1378" s="409"/>
      <c r="AD1378" s="409"/>
      <c r="AE1378" s="409"/>
      <c r="AF1378" s="409"/>
      <c r="AG1378" s="409"/>
      <c r="AH1378" s="409"/>
      <c r="AI1378" s="409"/>
      <c r="AJ1378" s="409"/>
      <c r="AK1378" s="409"/>
      <c r="AL1378" s="409"/>
      <c r="AM1378" s="409"/>
      <c r="AN1378" s="409"/>
      <c r="AO1378" s="409"/>
      <c r="AP1378" s="409"/>
      <c r="AQ1378" s="409"/>
      <c r="AR1378" s="410"/>
    </row>
    <row r="1379" spans="3:44" ht="18" customHeight="1">
      <c r="C1379" s="411"/>
      <c r="D1379" s="412"/>
      <c r="E1379" s="412"/>
      <c r="F1379" s="412"/>
      <c r="G1379" s="412"/>
      <c r="H1379" s="412"/>
      <c r="I1379" s="409"/>
      <c r="J1379" s="409"/>
      <c r="K1379" s="409"/>
      <c r="L1379" s="409"/>
      <c r="M1379" s="409"/>
      <c r="N1379" s="409"/>
      <c r="O1379" s="409"/>
      <c r="P1379" s="409"/>
      <c r="Q1379" s="409"/>
      <c r="R1379" s="409"/>
      <c r="S1379" s="409"/>
      <c r="T1379" s="409"/>
      <c r="U1379" s="409"/>
      <c r="V1379" s="409"/>
      <c r="W1379" s="409"/>
      <c r="X1379" s="409"/>
      <c r="Y1379" s="409"/>
      <c r="Z1379" s="409"/>
      <c r="AA1379" s="409"/>
      <c r="AB1379" s="409"/>
      <c r="AC1379" s="409"/>
      <c r="AD1379" s="409"/>
      <c r="AE1379" s="409"/>
      <c r="AF1379" s="409"/>
      <c r="AG1379" s="409"/>
      <c r="AH1379" s="409"/>
      <c r="AI1379" s="409"/>
      <c r="AJ1379" s="409"/>
      <c r="AK1379" s="409"/>
      <c r="AL1379" s="409"/>
      <c r="AM1379" s="409"/>
      <c r="AN1379" s="409"/>
      <c r="AO1379" s="409"/>
      <c r="AP1379" s="409"/>
      <c r="AQ1379" s="409"/>
      <c r="AR1379" s="410"/>
    </row>
    <row r="1380" spans="3:44" ht="18" customHeight="1">
      <c r="C1380" s="411"/>
      <c r="D1380" s="412"/>
      <c r="E1380" s="412"/>
      <c r="F1380" s="412"/>
      <c r="G1380" s="412"/>
      <c r="H1380" s="412"/>
      <c r="I1380" s="409"/>
      <c r="J1380" s="409"/>
      <c r="K1380" s="409"/>
      <c r="L1380" s="409"/>
      <c r="M1380" s="409"/>
      <c r="N1380" s="409"/>
      <c r="O1380" s="409"/>
      <c r="P1380" s="409"/>
      <c r="Q1380" s="409"/>
      <c r="R1380" s="409"/>
      <c r="S1380" s="409"/>
      <c r="T1380" s="409"/>
      <c r="U1380" s="409"/>
      <c r="V1380" s="409"/>
      <c r="W1380" s="409"/>
      <c r="X1380" s="409"/>
      <c r="Y1380" s="409"/>
      <c r="Z1380" s="409"/>
      <c r="AA1380" s="409"/>
      <c r="AB1380" s="409"/>
      <c r="AC1380" s="409"/>
      <c r="AD1380" s="409"/>
      <c r="AE1380" s="409"/>
      <c r="AF1380" s="409"/>
      <c r="AG1380" s="409"/>
      <c r="AH1380" s="409"/>
      <c r="AI1380" s="409"/>
      <c r="AJ1380" s="409"/>
      <c r="AK1380" s="409"/>
      <c r="AL1380" s="409"/>
      <c r="AM1380" s="409"/>
      <c r="AN1380" s="409"/>
      <c r="AO1380" s="409"/>
      <c r="AP1380" s="409"/>
      <c r="AQ1380" s="409"/>
      <c r="AR1380" s="410"/>
    </row>
    <row r="1381" spans="3:44" ht="18" customHeight="1">
      <c r="C1381" s="411"/>
      <c r="D1381" s="412"/>
      <c r="E1381" s="412"/>
      <c r="F1381" s="412"/>
      <c r="G1381" s="412"/>
      <c r="H1381" s="412"/>
      <c r="I1381" s="409"/>
      <c r="J1381" s="409"/>
      <c r="K1381" s="409"/>
      <c r="L1381" s="409"/>
      <c r="M1381" s="409"/>
      <c r="N1381" s="409"/>
      <c r="O1381" s="409"/>
      <c r="P1381" s="409"/>
      <c r="Q1381" s="409"/>
      <c r="R1381" s="409"/>
      <c r="S1381" s="409"/>
      <c r="T1381" s="409"/>
      <c r="U1381" s="409"/>
      <c r="V1381" s="409"/>
      <c r="W1381" s="409"/>
      <c r="X1381" s="409"/>
      <c r="Y1381" s="409"/>
      <c r="Z1381" s="409"/>
      <c r="AA1381" s="409"/>
      <c r="AB1381" s="409"/>
      <c r="AC1381" s="409"/>
      <c r="AD1381" s="409"/>
      <c r="AE1381" s="409"/>
      <c r="AF1381" s="409"/>
      <c r="AG1381" s="409"/>
      <c r="AH1381" s="409"/>
      <c r="AI1381" s="409"/>
      <c r="AJ1381" s="409"/>
      <c r="AK1381" s="409"/>
      <c r="AL1381" s="409"/>
      <c r="AM1381" s="409"/>
      <c r="AN1381" s="409"/>
      <c r="AO1381" s="409"/>
      <c r="AP1381" s="409"/>
      <c r="AQ1381" s="409"/>
      <c r="AR1381" s="410"/>
    </row>
    <row r="1382" spans="3:44" ht="18" customHeight="1">
      <c r="C1382" s="385"/>
      <c r="D1382" s="386"/>
      <c r="E1382" s="386"/>
      <c r="F1382" s="386"/>
      <c r="G1382" s="386"/>
      <c r="H1382" s="386"/>
      <c r="I1382" s="387"/>
      <c r="J1382" s="387"/>
      <c r="K1382" s="387"/>
      <c r="L1382" s="387"/>
      <c r="M1382" s="387"/>
      <c r="N1382" s="387"/>
      <c r="O1382" s="387"/>
      <c r="P1382" s="387"/>
      <c r="Q1382" s="387"/>
      <c r="R1382" s="387"/>
      <c r="S1382" s="387"/>
      <c r="T1382" s="387"/>
      <c r="U1382" s="387"/>
      <c r="V1382" s="387"/>
      <c r="W1382" s="387"/>
      <c r="X1382" s="387"/>
      <c r="Y1382" s="387"/>
      <c r="Z1382" s="387"/>
      <c r="AA1382" s="387"/>
      <c r="AB1382" s="387"/>
      <c r="AC1382" s="387"/>
      <c r="AD1382" s="387"/>
      <c r="AE1382" s="387"/>
      <c r="AF1382" s="387"/>
      <c r="AG1382" s="387"/>
      <c r="AH1382" s="387"/>
      <c r="AI1382" s="387"/>
      <c r="AJ1382" s="387"/>
      <c r="AK1382" s="387"/>
      <c r="AL1382" s="387"/>
      <c r="AM1382" s="387"/>
      <c r="AN1382" s="387"/>
      <c r="AO1382" s="387"/>
      <c r="AP1382" s="387"/>
      <c r="AQ1382" s="387"/>
      <c r="AR1382" s="388"/>
    </row>
    <row r="1384" spans="3:44" ht="18" customHeight="1">
      <c r="C1384" s="389" t="s">
        <v>100</v>
      </c>
      <c r="D1384" s="390"/>
      <c r="E1384" s="390"/>
      <c r="F1384" s="390"/>
      <c r="G1384" s="390"/>
      <c r="H1384" s="390"/>
      <c r="I1384" s="390"/>
      <c r="J1384" s="390"/>
      <c r="K1384" s="390"/>
      <c r="L1384" s="390"/>
      <c r="M1384" s="390"/>
      <c r="N1384" s="390"/>
      <c r="O1384" s="390"/>
      <c r="P1384" s="390"/>
      <c r="Q1384" s="390"/>
      <c r="R1384" s="390"/>
      <c r="S1384" s="390"/>
      <c r="T1384" s="390"/>
      <c r="U1384" s="390"/>
      <c r="V1384" s="390"/>
      <c r="W1384" s="390"/>
      <c r="X1384" s="390"/>
      <c r="Y1384" s="390"/>
      <c r="Z1384" s="390"/>
      <c r="AA1384" s="391"/>
      <c r="AB1384" s="392" t="str">
        <f>[5]C.UNIT.SERV.!$E$5</f>
        <v>DATA-BASE:      MAIO/2011/PR</v>
      </c>
      <c r="AC1384" s="393"/>
      <c r="AD1384" s="393"/>
      <c r="AE1384" s="393"/>
      <c r="AF1384" s="393"/>
      <c r="AG1384" s="393"/>
      <c r="AH1384" s="393"/>
      <c r="AI1384" s="394"/>
      <c r="AJ1384" s="392"/>
      <c r="AK1384" s="393"/>
      <c r="AL1384" s="393"/>
      <c r="AM1384" s="393"/>
      <c r="AN1384" s="393"/>
      <c r="AO1384" s="393"/>
      <c r="AP1384" s="393"/>
      <c r="AQ1384" s="393"/>
      <c r="AR1384" s="401"/>
    </row>
    <row r="1385" spans="3:44" ht="18" customHeight="1">
      <c r="C1385" s="404" t="s">
        <v>101</v>
      </c>
      <c r="D1385" s="405"/>
      <c r="E1385" s="405"/>
      <c r="F1385" s="405"/>
      <c r="G1385" s="405" t="s">
        <v>283</v>
      </c>
      <c r="H1385" s="405"/>
      <c r="I1385" s="405"/>
      <c r="J1385" s="405"/>
      <c r="K1385" s="405"/>
      <c r="L1385" s="405"/>
      <c r="M1385" s="405"/>
      <c r="N1385" s="405"/>
      <c r="O1385" s="405"/>
      <c r="P1385" s="405"/>
      <c r="Q1385" s="405"/>
      <c r="R1385" s="405"/>
      <c r="S1385" s="405"/>
      <c r="T1385" s="405"/>
      <c r="U1385" s="405"/>
      <c r="V1385" s="405"/>
      <c r="W1385" s="405"/>
      <c r="X1385" s="405"/>
      <c r="Y1385" s="405"/>
      <c r="Z1385" s="405"/>
      <c r="AA1385" s="406"/>
      <c r="AB1385" s="395"/>
      <c r="AC1385" s="396"/>
      <c r="AD1385" s="396"/>
      <c r="AE1385" s="396"/>
      <c r="AF1385" s="396"/>
      <c r="AG1385" s="396"/>
      <c r="AH1385" s="396"/>
      <c r="AI1385" s="397"/>
      <c r="AJ1385" s="395"/>
      <c r="AK1385" s="396"/>
      <c r="AL1385" s="396"/>
      <c r="AM1385" s="396"/>
      <c r="AN1385" s="396"/>
      <c r="AO1385" s="396"/>
      <c r="AP1385" s="396"/>
      <c r="AQ1385" s="396"/>
      <c r="AR1385" s="402"/>
    </row>
    <row r="1386" spans="3:44" ht="18" customHeight="1">
      <c r="C1386" s="404" t="s">
        <v>102</v>
      </c>
      <c r="D1386" s="405"/>
      <c r="E1386" s="405"/>
      <c r="F1386" s="405"/>
      <c r="G1386" s="405"/>
      <c r="H1386" s="405"/>
      <c r="I1386" s="405"/>
      <c r="J1386" s="405"/>
      <c r="K1386" s="405"/>
      <c r="L1386" s="405"/>
      <c r="M1386" s="405"/>
      <c r="N1386" s="405"/>
      <c r="O1386" s="405"/>
      <c r="P1386" s="405"/>
      <c r="Q1386" s="405"/>
      <c r="R1386" s="405"/>
      <c r="S1386" s="405"/>
      <c r="T1386" s="405"/>
      <c r="U1386" s="405"/>
      <c r="V1386" s="405"/>
      <c r="W1386" s="405"/>
      <c r="X1386" s="405"/>
      <c r="Y1386" s="405"/>
      <c r="Z1386" s="405"/>
      <c r="AA1386" s="406"/>
      <c r="AB1386" s="395"/>
      <c r="AC1386" s="396"/>
      <c r="AD1386" s="396"/>
      <c r="AE1386" s="396"/>
      <c r="AF1386" s="396"/>
      <c r="AG1386" s="396"/>
      <c r="AH1386" s="396"/>
      <c r="AI1386" s="397"/>
      <c r="AJ1386" s="395"/>
      <c r="AK1386" s="396"/>
      <c r="AL1386" s="396"/>
      <c r="AM1386" s="396"/>
      <c r="AN1386" s="396"/>
      <c r="AO1386" s="396"/>
      <c r="AP1386" s="396"/>
      <c r="AQ1386" s="396"/>
      <c r="AR1386" s="402"/>
    </row>
    <row r="1387" spans="3:44" ht="18" customHeight="1">
      <c r="C1387" s="407"/>
      <c r="D1387" s="408"/>
      <c r="E1387" s="408"/>
      <c r="F1387" s="408"/>
      <c r="G1387" s="408"/>
      <c r="H1387" s="408"/>
      <c r="I1387" s="408"/>
      <c r="J1387" s="408"/>
      <c r="K1387" s="408"/>
      <c r="L1387" s="408"/>
      <c r="M1387" s="408"/>
      <c r="N1387" s="408"/>
      <c r="O1387" s="408"/>
      <c r="P1387" s="408"/>
      <c r="Q1387" s="408"/>
      <c r="R1387" s="408"/>
      <c r="S1387" s="408"/>
      <c r="T1387" s="408"/>
      <c r="U1387" s="408"/>
      <c r="V1387" s="408"/>
      <c r="W1387" s="408"/>
      <c r="X1387" s="408"/>
      <c r="Y1387" s="408"/>
      <c r="Z1387" s="408"/>
      <c r="AA1387" s="408"/>
      <c r="AB1387" s="398"/>
      <c r="AC1387" s="399"/>
      <c r="AD1387" s="399"/>
      <c r="AE1387" s="399"/>
      <c r="AF1387" s="399"/>
      <c r="AG1387" s="399"/>
      <c r="AH1387" s="399"/>
      <c r="AI1387" s="400"/>
      <c r="AJ1387" s="398"/>
      <c r="AK1387" s="399"/>
      <c r="AL1387" s="399"/>
      <c r="AM1387" s="399"/>
      <c r="AN1387" s="399"/>
      <c r="AO1387" s="399"/>
      <c r="AP1387" s="399"/>
      <c r="AQ1387" s="399"/>
      <c r="AR1387" s="403"/>
    </row>
    <row r="1389" spans="3:44" ht="18" customHeight="1">
      <c r="C1389" s="850" t="s">
        <v>64</v>
      </c>
      <c r="D1389" s="851"/>
      <c r="E1389" s="851"/>
      <c r="F1389" s="851"/>
      <c r="G1389" s="851"/>
      <c r="H1389" s="851"/>
      <c r="I1389" s="851"/>
      <c r="J1389" s="851"/>
      <c r="K1389" s="851"/>
      <c r="L1389" s="851"/>
      <c r="M1389" s="851"/>
      <c r="N1389" s="851"/>
      <c r="O1389" s="851"/>
      <c r="P1389" s="851"/>
      <c r="Q1389" s="851"/>
      <c r="R1389" s="851"/>
      <c r="S1389" s="851"/>
      <c r="T1389" s="851"/>
      <c r="U1389" s="851"/>
      <c r="V1389" s="851"/>
      <c r="W1389" s="851"/>
      <c r="X1389" s="851"/>
      <c r="Y1389" s="851"/>
      <c r="Z1389" s="851"/>
      <c r="AA1389" s="851"/>
      <c r="AB1389" s="851"/>
      <c r="AC1389" s="851"/>
      <c r="AD1389" s="851"/>
      <c r="AE1389" s="851"/>
      <c r="AF1389" s="851"/>
      <c r="AG1389" s="851"/>
      <c r="AH1389" s="851"/>
      <c r="AI1389" s="851"/>
      <c r="AJ1389" s="851"/>
      <c r="AK1389" s="851"/>
      <c r="AL1389" s="851"/>
      <c r="AM1389" s="851"/>
      <c r="AN1389" s="851"/>
      <c r="AO1389" s="851"/>
      <c r="AP1389" s="851"/>
      <c r="AQ1389" s="851"/>
      <c r="AR1389" s="852"/>
    </row>
    <row r="1390" spans="3:44" ht="18" customHeight="1">
      <c r="C1390" s="853"/>
      <c r="D1390" s="854"/>
      <c r="E1390" s="854"/>
      <c r="F1390" s="854"/>
      <c r="G1390" s="854"/>
      <c r="H1390" s="854"/>
      <c r="I1390" s="854"/>
      <c r="J1390" s="854"/>
      <c r="K1390" s="854"/>
      <c r="L1390" s="854"/>
      <c r="M1390" s="854"/>
      <c r="N1390" s="854"/>
      <c r="O1390" s="854"/>
      <c r="P1390" s="854"/>
      <c r="Q1390" s="854"/>
      <c r="R1390" s="854"/>
      <c r="S1390" s="854"/>
      <c r="T1390" s="854"/>
      <c r="U1390" s="854"/>
      <c r="V1390" s="854"/>
      <c r="W1390" s="854"/>
      <c r="X1390" s="854"/>
      <c r="Y1390" s="854"/>
      <c r="Z1390" s="854"/>
      <c r="AA1390" s="854"/>
      <c r="AB1390" s="854"/>
      <c r="AC1390" s="854"/>
      <c r="AD1390" s="854"/>
      <c r="AE1390" s="854"/>
      <c r="AF1390" s="854"/>
      <c r="AG1390" s="854"/>
      <c r="AH1390" s="854"/>
      <c r="AI1390" s="854"/>
      <c r="AJ1390" s="854"/>
      <c r="AK1390" s="854"/>
      <c r="AL1390" s="854"/>
      <c r="AM1390" s="854"/>
      <c r="AN1390" s="854"/>
      <c r="AO1390" s="854"/>
      <c r="AP1390" s="854"/>
      <c r="AQ1390" s="854"/>
      <c r="AR1390" s="855"/>
    </row>
    <row r="1391" spans="3:44" ht="18" customHeight="1">
      <c r="C1391" s="856" t="s">
        <v>65</v>
      </c>
      <c r="D1391" s="857"/>
      <c r="E1391" s="857"/>
      <c r="F1391" s="857"/>
      <c r="G1391" s="860" t="s">
        <v>1585</v>
      </c>
      <c r="H1391" s="860"/>
      <c r="I1391" s="860"/>
      <c r="J1391" s="861"/>
      <c r="K1391" s="864" t="s">
        <v>66</v>
      </c>
      <c r="L1391" s="865"/>
      <c r="M1391" s="865"/>
      <c r="N1391" s="865"/>
      <c r="O1391" s="526" t="s">
        <v>1584</v>
      </c>
      <c r="P1391" s="526"/>
      <c r="Q1391" s="526"/>
      <c r="R1391" s="526"/>
      <c r="S1391" s="526"/>
      <c r="T1391" s="526"/>
      <c r="U1391" s="526"/>
      <c r="V1391" s="526"/>
      <c r="W1391" s="526"/>
      <c r="X1391" s="526"/>
      <c r="Y1391" s="526"/>
      <c r="Z1391" s="526"/>
      <c r="AA1391" s="526"/>
      <c r="AB1391" s="526"/>
      <c r="AC1391" s="526"/>
      <c r="AD1391" s="526"/>
      <c r="AE1391" s="526"/>
      <c r="AF1391" s="526"/>
      <c r="AG1391" s="526"/>
      <c r="AH1391" s="526"/>
      <c r="AI1391" s="526"/>
      <c r="AJ1391" s="526"/>
      <c r="AK1391" s="527"/>
      <c r="AL1391" s="864" t="s">
        <v>67</v>
      </c>
      <c r="AM1391" s="865"/>
      <c r="AN1391" s="865"/>
      <c r="AO1391" s="865"/>
      <c r="AP1391" s="843" t="s">
        <v>194</v>
      </c>
      <c r="AQ1391" s="843"/>
      <c r="AR1391" s="844"/>
    </row>
    <row r="1392" spans="3:44" ht="18" customHeight="1">
      <c r="C1392" s="858"/>
      <c r="D1392" s="859"/>
      <c r="E1392" s="859"/>
      <c r="F1392" s="859"/>
      <c r="G1392" s="862"/>
      <c r="H1392" s="862"/>
      <c r="I1392" s="862"/>
      <c r="J1392" s="863"/>
      <c r="K1392" s="866"/>
      <c r="L1392" s="867"/>
      <c r="M1392" s="867"/>
      <c r="N1392" s="867"/>
      <c r="O1392" s="528"/>
      <c r="P1392" s="528"/>
      <c r="Q1392" s="528"/>
      <c r="R1392" s="528"/>
      <c r="S1392" s="528"/>
      <c r="T1392" s="528"/>
      <c r="U1392" s="528"/>
      <c r="V1392" s="528"/>
      <c r="W1392" s="528"/>
      <c r="X1392" s="528"/>
      <c r="Y1392" s="528"/>
      <c r="Z1392" s="528"/>
      <c r="AA1392" s="528"/>
      <c r="AB1392" s="528"/>
      <c r="AC1392" s="528"/>
      <c r="AD1392" s="528"/>
      <c r="AE1392" s="528"/>
      <c r="AF1392" s="528"/>
      <c r="AG1392" s="528"/>
      <c r="AH1392" s="528"/>
      <c r="AI1392" s="528"/>
      <c r="AJ1392" s="528"/>
      <c r="AK1392" s="529"/>
      <c r="AL1392" s="866"/>
      <c r="AM1392" s="867"/>
      <c r="AN1392" s="867"/>
      <c r="AO1392" s="867"/>
      <c r="AP1392" s="845"/>
      <c r="AQ1392" s="845"/>
      <c r="AR1392" s="846"/>
    </row>
    <row r="1394" spans="3:44" ht="18" customHeight="1">
      <c r="C1394" s="794" t="s">
        <v>43</v>
      </c>
      <c r="D1394" s="774"/>
      <c r="E1394" s="775"/>
      <c r="F1394" s="773" t="s">
        <v>68</v>
      </c>
      <c r="G1394" s="774"/>
      <c r="H1394" s="774"/>
      <c r="I1394" s="774"/>
      <c r="J1394" s="774"/>
      <c r="K1394" s="774"/>
      <c r="L1394" s="774"/>
      <c r="M1394" s="774"/>
      <c r="N1394" s="774"/>
      <c r="O1394" s="774"/>
      <c r="P1394" s="774"/>
      <c r="Q1394" s="774"/>
      <c r="R1394" s="774"/>
      <c r="S1394" s="774"/>
      <c r="T1394" s="774"/>
      <c r="U1394" s="775"/>
      <c r="V1394" s="773" t="s">
        <v>249</v>
      </c>
      <c r="W1394" s="774"/>
      <c r="X1394" s="775"/>
      <c r="Y1394" s="847" t="s">
        <v>69</v>
      </c>
      <c r="Z1394" s="848"/>
      <c r="AA1394" s="848"/>
      <c r="AB1394" s="848"/>
      <c r="AC1394" s="848"/>
      <c r="AD1394" s="848"/>
      <c r="AE1394" s="848"/>
      <c r="AF1394" s="849"/>
      <c r="AG1394" s="847" t="s">
        <v>70</v>
      </c>
      <c r="AH1394" s="848"/>
      <c r="AI1394" s="848"/>
      <c r="AJ1394" s="848"/>
      <c r="AK1394" s="848"/>
      <c r="AL1394" s="848"/>
      <c r="AM1394" s="848"/>
      <c r="AN1394" s="849"/>
      <c r="AO1394" s="773" t="s">
        <v>71</v>
      </c>
      <c r="AP1394" s="774"/>
      <c r="AQ1394" s="774"/>
      <c r="AR1394" s="779"/>
    </row>
    <row r="1395" spans="3:44" ht="18" customHeight="1">
      <c r="C1395" s="795"/>
      <c r="D1395" s="777"/>
      <c r="E1395" s="778"/>
      <c r="F1395" s="776"/>
      <c r="G1395" s="777"/>
      <c r="H1395" s="777"/>
      <c r="I1395" s="777"/>
      <c r="J1395" s="777"/>
      <c r="K1395" s="777"/>
      <c r="L1395" s="777"/>
      <c r="M1395" s="777"/>
      <c r="N1395" s="777"/>
      <c r="O1395" s="777"/>
      <c r="P1395" s="777"/>
      <c r="Q1395" s="777"/>
      <c r="R1395" s="777"/>
      <c r="S1395" s="777"/>
      <c r="T1395" s="777"/>
      <c r="U1395" s="778"/>
      <c r="V1395" s="776"/>
      <c r="W1395" s="777"/>
      <c r="X1395" s="778"/>
      <c r="Y1395" s="834" t="s">
        <v>72</v>
      </c>
      <c r="Z1395" s="835"/>
      <c r="AA1395" s="835"/>
      <c r="AB1395" s="836"/>
      <c r="AC1395" s="834" t="s">
        <v>73</v>
      </c>
      <c r="AD1395" s="835"/>
      <c r="AE1395" s="835"/>
      <c r="AF1395" s="836"/>
      <c r="AG1395" s="834" t="s">
        <v>72</v>
      </c>
      <c r="AH1395" s="835"/>
      <c r="AI1395" s="835"/>
      <c r="AJ1395" s="836"/>
      <c r="AK1395" s="834" t="s">
        <v>73</v>
      </c>
      <c r="AL1395" s="835"/>
      <c r="AM1395" s="835"/>
      <c r="AN1395" s="836"/>
      <c r="AO1395" s="776"/>
      <c r="AP1395" s="777"/>
      <c r="AQ1395" s="777"/>
      <c r="AR1395" s="780"/>
    </row>
    <row r="1396" spans="3:44" ht="18" customHeight="1">
      <c r="C1396" s="781" t="s">
        <v>1386</v>
      </c>
      <c r="D1396" s="782"/>
      <c r="E1396" s="783"/>
      <c r="F1396" s="493" t="s">
        <v>866</v>
      </c>
      <c r="G1396" s="493"/>
      <c r="H1396" s="493"/>
      <c r="I1396" s="493"/>
      <c r="J1396" s="493"/>
      <c r="K1396" s="493"/>
      <c r="L1396" s="493"/>
      <c r="M1396" s="493"/>
      <c r="N1396" s="493"/>
      <c r="O1396" s="493"/>
      <c r="P1396" s="493"/>
      <c r="Q1396" s="493"/>
      <c r="R1396" s="493"/>
      <c r="S1396" s="493"/>
      <c r="T1396" s="493"/>
      <c r="U1396" s="493"/>
      <c r="V1396" s="837">
        <v>0.03</v>
      </c>
      <c r="W1396" s="838"/>
      <c r="X1396" s="839"/>
      <c r="Y1396" s="837">
        <v>1</v>
      </c>
      <c r="Z1396" s="838"/>
      <c r="AA1396" s="838"/>
      <c r="AB1396" s="839"/>
      <c r="AC1396" s="840">
        <f>1-Y1396</f>
        <v>0</v>
      </c>
      <c r="AD1396" s="841"/>
      <c r="AE1396" s="841"/>
      <c r="AF1396" s="842"/>
      <c r="AG1396" s="491">
        <f>VLOOKUP(C1396,[5]EQUIPAMENTOS!A$1:D$65536,3,FALSE)</f>
        <v>120.4585</v>
      </c>
      <c r="AH1396" s="491"/>
      <c r="AI1396" s="491"/>
      <c r="AJ1396" s="491"/>
      <c r="AK1396" s="491">
        <f>VLOOKUP(C1396,[5]EQUIPAMENTOS!A$1:D$65536,4,FALSE)</f>
        <v>17.939399999999999</v>
      </c>
      <c r="AL1396" s="491"/>
      <c r="AM1396" s="491"/>
      <c r="AN1396" s="491"/>
      <c r="AO1396" s="491">
        <f>ROUND((Y1396*AG1396+AC1396*AK1396)*V1396,2)</f>
        <v>3.61</v>
      </c>
      <c r="AP1396" s="491"/>
      <c r="AQ1396" s="491"/>
      <c r="AR1396" s="492"/>
    </row>
    <row r="1397" spans="3:44" ht="18" customHeight="1">
      <c r="C1397" s="758" t="s">
        <v>1387</v>
      </c>
      <c r="D1397" s="759"/>
      <c r="E1397" s="760"/>
      <c r="F1397" s="493" t="s">
        <v>867</v>
      </c>
      <c r="G1397" s="493"/>
      <c r="H1397" s="493"/>
      <c r="I1397" s="493"/>
      <c r="J1397" s="493"/>
      <c r="K1397" s="493"/>
      <c r="L1397" s="493"/>
      <c r="M1397" s="493"/>
      <c r="N1397" s="493"/>
      <c r="O1397" s="493"/>
      <c r="P1397" s="493"/>
      <c r="Q1397" s="493"/>
      <c r="R1397" s="493"/>
      <c r="S1397" s="493"/>
      <c r="T1397" s="493"/>
      <c r="U1397" s="493"/>
      <c r="V1397" s="466">
        <v>0.01</v>
      </c>
      <c r="W1397" s="467"/>
      <c r="X1397" s="468"/>
      <c r="Y1397" s="466">
        <v>1</v>
      </c>
      <c r="Z1397" s="467"/>
      <c r="AA1397" s="467"/>
      <c r="AB1397" s="468"/>
      <c r="AC1397" s="828">
        <f>1-Y1397</f>
        <v>0</v>
      </c>
      <c r="AD1397" s="829"/>
      <c r="AE1397" s="829"/>
      <c r="AF1397" s="830"/>
      <c r="AG1397" s="491">
        <f>VLOOKUP(C1397,[5]EQUIPAMENTOS!A$1:D$65536,3,FALSE)</f>
        <v>123.3065</v>
      </c>
      <c r="AH1397" s="491"/>
      <c r="AI1397" s="491"/>
      <c r="AJ1397" s="491"/>
      <c r="AK1397" s="491">
        <f>VLOOKUP(C1397,[5]EQUIPAMENTOS!A$1:D$65536,4,FALSE)</f>
        <v>17.939399999999999</v>
      </c>
      <c r="AL1397" s="491"/>
      <c r="AM1397" s="491"/>
      <c r="AN1397" s="491"/>
      <c r="AO1397" s="491">
        <f>ROUND((Y1397*AG1397+AC1397*AK1397)*V1397,2)</f>
        <v>1.23</v>
      </c>
      <c r="AP1397" s="491"/>
      <c r="AQ1397" s="491"/>
      <c r="AR1397" s="492"/>
    </row>
    <row r="1398" spans="3:44" ht="18" customHeight="1">
      <c r="C1398" s="758"/>
      <c r="D1398" s="759"/>
      <c r="E1398" s="760"/>
      <c r="F1398" s="493"/>
      <c r="G1398" s="493"/>
      <c r="H1398" s="493"/>
      <c r="I1398" s="493"/>
      <c r="J1398" s="493"/>
      <c r="K1398" s="493"/>
      <c r="L1398" s="493"/>
      <c r="M1398" s="493"/>
      <c r="N1398" s="493"/>
      <c r="O1398" s="493"/>
      <c r="P1398" s="493"/>
      <c r="Q1398" s="493"/>
      <c r="R1398" s="493"/>
      <c r="S1398" s="493"/>
      <c r="T1398" s="493"/>
      <c r="U1398" s="493"/>
      <c r="V1398" s="466"/>
      <c r="W1398" s="467"/>
      <c r="X1398" s="468"/>
      <c r="Y1398" s="466"/>
      <c r="Z1398" s="467"/>
      <c r="AA1398" s="467"/>
      <c r="AB1398" s="468"/>
      <c r="AC1398" s="828"/>
      <c r="AD1398" s="829"/>
      <c r="AE1398" s="829"/>
      <c r="AF1398" s="830"/>
      <c r="AG1398" s="491"/>
      <c r="AH1398" s="491"/>
      <c r="AI1398" s="491"/>
      <c r="AJ1398" s="491"/>
      <c r="AK1398" s="491"/>
      <c r="AL1398" s="491"/>
      <c r="AM1398" s="491"/>
      <c r="AN1398" s="491"/>
      <c r="AO1398" s="491"/>
      <c r="AP1398" s="491"/>
      <c r="AQ1398" s="491"/>
      <c r="AR1398" s="492"/>
    </row>
    <row r="1399" spans="3:44" ht="18" customHeight="1">
      <c r="C1399" s="758"/>
      <c r="D1399" s="759"/>
      <c r="E1399" s="760"/>
      <c r="F1399" s="493"/>
      <c r="G1399" s="493"/>
      <c r="H1399" s="493"/>
      <c r="I1399" s="493"/>
      <c r="J1399" s="493"/>
      <c r="K1399" s="493"/>
      <c r="L1399" s="493"/>
      <c r="M1399" s="493"/>
      <c r="N1399" s="493"/>
      <c r="O1399" s="493"/>
      <c r="P1399" s="493"/>
      <c r="Q1399" s="493"/>
      <c r="R1399" s="493"/>
      <c r="S1399" s="493"/>
      <c r="T1399" s="493"/>
      <c r="U1399" s="493"/>
      <c r="V1399" s="466"/>
      <c r="W1399" s="467"/>
      <c r="X1399" s="468"/>
      <c r="Y1399" s="466"/>
      <c r="Z1399" s="467"/>
      <c r="AA1399" s="467"/>
      <c r="AB1399" s="468"/>
      <c r="AC1399" s="828"/>
      <c r="AD1399" s="829"/>
      <c r="AE1399" s="829"/>
      <c r="AF1399" s="830"/>
      <c r="AG1399" s="491"/>
      <c r="AH1399" s="491"/>
      <c r="AI1399" s="491"/>
      <c r="AJ1399" s="491"/>
      <c r="AK1399" s="491"/>
      <c r="AL1399" s="491"/>
      <c r="AM1399" s="491"/>
      <c r="AN1399" s="491"/>
      <c r="AO1399" s="491"/>
      <c r="AP1399" s="491"/>
      <c r="AQ1399" s="491"/>
      <c r="AR1399" s="492"/>
    </row>
    <row r="1400" spans="3:44" ht="18" customHeight="1">
      <c r="C1400" s="758"/>
      <c r="D1400" s="759"/>
      <c r="E1400" s="760"/>
      <c r="F1400" s="493"/>
      <c r="G1400" s="493"/>
      <c r="H1400" s="493"/>
      <c r="I1400" s="493"/>
      <c r="J1400" s="493"/>
      <c r="K1400" s="493"/>
      <c r="L1400" s="493"/>
      <c r="M1400" s="493"/>
      <c r="N1400" s="493"/>
      <c r="O1400" s="493"/>
      <c r="P1400" s="493"/>
      <c r="Q1400" s="493"/>
      <c r="R1400" s="493"/>
      <c r="S1400" s="493"/>
      <c r="T1400" s="493"/>
      <c r="U1400" s="493"/>
      <c r="V1400" s="466"/>
      <c r="W1400" s="467"/>
      <c r="X1400" s="468"/>
      <c r="Y1400" s="466"/>
      <c r="Z1400" s="467"/>
      <c r="AA1400" s="467"/>
      <c r="AB1400" s="468"/>
      <c r="AC1400" s="828"/>
      <c r="AD1400" s="829"/>
      <c r="AE1400" s="829"/>
      <c r="AF1400" s="830"/>
      <c r="AG1400" s="491"/>
      <c r="AH1400" s="491"/>
      <c r="AI1400" s="491"/>
      <c r="AJ1400" s="491"/>
      <c r="AK1400" s="491"/>
      <c r="AL1400" s="491"/>
      <c r="AM1400" s="491"/>
      <c r="AN1400" s="491"/>
      <c r="AO1400" s="491"/>
      <c r="AP1400" s="491"/>
      <c r="AQ1400" s="491"/>
      <c r="AR1400" s="492"/>
    </row>
    <row r="1401" spans="3:44" ht="18" customHeight="1">
      <c r="C1401" s="758"/>
      <c r="D1401" s="759"/>
      <c r="E1401" s="760"/>
      <c r="F1401" s="493"/>
      <c r="G1401" s="493"/>
      <c r="H1401" s="493"/>
      <c r="I1401" s="493"/>
      <c r="J1401" s="493"/>
      <c r="K1401" s="493"/>
      <c r="L1401" s="493"/>
      <c r="M1401" s="493"/>
      <c r="N1401" s="493"/>
      <c r="O1401" s="493"/>
      <c r="P1401" s="493"/>
      <c r="Q1401" s="493"/>
      <c r="R1401" s="493"/>
      <c r="S1401" s="493"/>
      <c r="T1401" s="493"/>
      <c r="U1401" s="493"/>
      <c r="V1401" s="466"/>
      <c r="W1401" s="467"/>
      <c r="X1401" s="468"/>
      <c r="Y1401" s="466"/>
      <c r="Z1401" s="467"/>
      <c r="AA1401" s="467"/>
      <c r="AB1401" s="468"/>
      <c r="AC1401" s="828"/>
      <c r="AD1401" s="829"/>
      <c r="AE1401" s="829"/>
      <c r="AF1401" s="830"/>
      <c r="AG1401" s="491"/>
      <c r="AH1401" s="491"/>
      <c r="AI1401" s="491"/>
      <c r="AJ1401" s="491"/>
      <c r="AK1401" s="491"/>
      <c r="AL1401" s="491"/>
      <c r="AM1401" s="491"/>
      <c r="AN1401" s="491"/>
      <c r="AO1401" s="491"/>
      <c r="AP1401" s="491"/>
      <c r="AQ1401" s="491"/>
      <c r="AR1401" s="492"/>
    </row>
    <row r="1402" spans="3:44" ht="18" customHeight="1">
      <c r="C1402" s="758"/>
      <c r="D1402" s="759"/>
      <c r="E1402" s="760"/>
      <c r="F1402" s="796"/>
      <c r="G1402" s="797"/>
      <c r="H1402" s="797"/>
      <c r="I1402" s="797"/>
      <c r="J1402" s="797"/>
      <c r="K1402" s="797"/>
      <c r="L1402" s="797"/>
      <c r="M1402" s="797"/>
      <c r="N1402" s="797"/>
      <c r="O1402" s="797"/>
      <c r="P1402" s="797"/>
      <c r="Q1402" s="797"/>
      <c r="R1402" s="797"/>
      <c r="S1402" s="797"/>
      <c r="T1402" s="797"/>
      <c r="U1402" s="798"/>
      <c r="V1402" s="466"/>
      <c r="W1402" s="467"/>
      <c r="X1402" s="468"/>
      <c r="Y1402" s="466"/>
      <c r="Z1402" s="467"/>
      <c r="AA1402" s="467"/>
      <c r="AB1402" s="468"/>
      <c r="AC1402" s="828"/>
      <c r="AD1402" s="829"/>
      <c r="AE1402" s="829"/>
      <c r="AF1402" s="830"/>
      <c r="AG1402" s="466"/>
      <c r="AH1402" s="467"/>
      <c r="AI1402" s="467"/>
      <c r="AJ1402" s="468"/>
      <c r="AK1402" s="466"/>
      <c r="AL1402" s="467"/>
      <c r="AM1402" s="467"/>
      <c r="AN1402" s="468"/>
      <c r="AO1402" s="466"/>
      <c r="AP1402" s="467"/>
      <c r="AQ1402" s="467"/>
      <c r="AR1402" s="823"/>
    </row>
    <row r="1403" spans="3:44" ht="18" customHeight="1">
      <c r="C1403" s="758"/>
      <c r="D1403" s="759"/>
      <c r="E1403" s="760"/>
      <c r="F1403" s="796"/>
      <c r="G1403" s="797"/>
      <c r="H1403" s="797"/>
      <c r="I1403" s="797"/>
      <c r="J1403" s="797"/>
      <c r="K1403" s="797"/>
      <c r="L1403" s="797"/>
      <c r="M1403" s="797"/>
      <c r="N1403" s="797"/>
      <c r="O1403" s="797"/>
      <c r="P1403" s="797"/>
      <c r="Q1403" s="797"/>
      <c r="R1403" s="797"/>
      <c r="S1403" s="797"/>
      <c r="T1403" s="797"/>
      <c r="U1403" s="798"/>
      <c r="V1403" s="466"/>
      <c r="W1403" s="467"/>
      <c r="X1403" s="468"/>
      <c r="Y1403" s="466"/>
      <c r="Z1403" s="467"/>
      <c r="AA1403" s="467"/>
      <c r="AB1403" s="468"/>
      <c r="AC1403" s="828"/>
      <c r="AD1403" s="829"/>
      <c r="AE1403" s="829"/>
      <c r="AF1403" s="830"/>
      <c r="AG1403" s="466"/>
      <c r="AH1403" s="467"/>
      <c r="AI1403" s="467"/>
      <c r="AJ1403" s="468"/>
      <c r="AK1403" s="466"/>
      <c r="AL1403" s="467"/>
      <c r="AM1403" s="467"/>
      <c r="AN1403" s="468"/>
      <c r="AO1403" s="466"/>
      <c r="AP1403" s="467"/>
      <c r="AQ1403" s="467"/>
      <c r="AR1403" s="823"/>
    </row>
    <row r="1404" spans="3:44" ht="18" customHeight="1">
      <c r="C1404" s="743"/>
      <c r="D1404" s="744"/>
      <c r="E1404" s="744"/>
      <c r="F1404" s="744"/>
      <c r="G1404" s="744"/>
      <c r="H1404" s="744"/>
      <c r="I1404" s="744"/>
      <c r="J1404" s="744"/>
      <c r="K1404" s="744"/>
      <c r="L1404" s="744"/>
      <c r="M1404" s="744"/>
      <c r="N1404" s="744"/>
      <c r="O1404" s="744"/>
      <c r="P1404" s="744"/>
      <c r="Q1404" s="744"/>
      <c r="R1404" s="744"/>
      <c r="S1404" s="744"/>
      <c r="T1404" s="744"/>
      <c r="U1404" s="744"/>
      <c r="V1404" s="744"/>
      <c r="W1404" s="744"/>
      <c r="X1404" s="824"/>
      <c r="Y1404" s="825" t="s">
        <v>74</v>
      </c>
      <c r="Z1404" s="826"/>
      <c r="AA1404" s="826"/>
      <c r="AB1404" s="826"/>
      <c r="AC1404" s="826"/>
      <c r="AD1404" s="826"/>
      <c r="AE1404" s="826"/>
      <c r="AF1404" s="826"/>
      <c r="AG1404" s="826"/>
      <c r="AH1404" s="826"/>
      <c r="AI1404" s="826"/>
      <c r="AJ1404" s="826"/>
      <c r="AK1404" s="826"/>
      <c r="AL1404" s="826"/>
      <c r="AM1404" s="826"/>
      <c r="AN1404" s="827"/>
      <c r="AO1404" s="477">
        <f>SUM(AO1396:AR1403)</f>
        <v>4.84</v>
      </c>
      <c r="AP1404" s="746"/>
      <c r="AQ1404" s="746"/>
      <c r="AR1404" s="747"/>
    </row>
    <row r="1406" spans="3:44" ht="18" customHeight="1">
      <c r="C1406" s="794" t="s">
        <v>43</v>
      </c>
      <c r="D1406" s="774"/>
      <c r="E1406" s="775"/>
      <c r="F1406" s="773" t="s">
        <v>75</v>
      </c>
      <c r="G1406" s="774"/>
      <c r="H1406" s="774"/>
      <c r="I1406" s="774"/>
      <c r="J1406" s="774"/>
      <c r="K1406" s="774"/>
      <c r="L1406" s="774"/>
      <c r="M1406" s="774"/>
      <c r="N1406" s="774"/>
      <c r="O1406" s="774"/>
      <c r="P1406" s="774"/>
      <c r="Q1406" s="774"/>
      <c r="R1406" s="774"/>
      <c r="S1406" s="774"/>
      <c r="T1406" s="774"/>
      <c r="U1406" s="774"/>
      <c r="V1406" s="774"/>
      <c r="W1406" s="774"/>
      <c r="X1406" s="774"/>
      <c r="Y1406" s="774"/>
      <c r="Z1406" s="774"/>
      <c r="AA1406" s="774"/>
      <c r="AB1406" s="775"/>
      <c r="AC1406" s="773" t="s">
        <v>76</v>
      </c>
      <c r="AD1406" s="774"/>
      <c r="AE1406" s="774"/>
      <c r="AF1406" s="775"/>
      <c r="AG1406" s="773" t="s">
        <v>249</v>
      </c>
      <c r="AH1406" s="774"/>
      <c r="AI1406" s="774"/>
      <c r="AJ1406" s="775"/>
      <c r="AK1406" s="773" t="s">
        <v>77</v>
      </c>
      <c r="AL1406" s="774"/>
      <c r="AM1406" s="774"/>
      <c r="AN1406" s="775"/>
      <c r="AO1406" s="773" t="s">
        <v>71</v>
      </c>
      <c r="AP1406" s="774"/>
      <c r="AQ1406" s="774"/>
      <c r="AR1406" s="779"/>
    </row>
    <row r="1407" spans="3:44" ht="18" customHeight="1">
      <c r="C1407" s="795"/>
      <c r="D1407" s="777"/>
      <c r="E1407" s="778"/>
      <c r="F1407" s="776"/>
      <c r="G1407" s="777"/>
      <c r="H1407" s="777"/>
      <c r="I1407" s="777"/>
      <c r="J1407" s="777"/>
      <c r="K1407" s="777"/>
      <c r="L1407" s="777"/>
      <c r="M1407" s="777"/>
      <c r="N1407" s="777"/>
      <c r="O1407" s="777"/>
      <c r="P1407" s="777"/>
      <c r="Q1407" s="777"/>
      <c r="R1407" s="777"/>
      <c r="S1407" s="777"/>
      <c r="T1407" s="777"/>
      <c r="U1407" s="777"/>
      <c r="V1407" s="777"/>
      <c r="W1407" s="777"/>
      <c r="X1407" s="777"/>
      <c r="Y1407" s="777"/>
      <c r="Z1407" s="777"/>
      <c r="AA1407" s="777"/>
      <c r="AB1407" s="778"/>
      <c r="AC1407" s="776"/>
      <c r="AD1407" s="777"/>
      <c r="AE1407" s="777"/>
      <c r="AF1407" s="778"/>
      <c r="AG1407" s="776"/>
      <c r="AH1407" s="777"/>
      <c r="AI1407" s="777"/>
      <c r="AJ1407" s="778"/>
      <c r="AK1407" s="776"/>
      <c r="AL1407" s="777"/>
      <c r="AM1407" s="777"/>
      <c r="AN1407" s="778"/>
      <c r="AO1407" s="776"/>
      <c r="AP1407" s="777"/>
      <c r="AQ1407" s="777"/>
      <c r="AR1407" s="780"/>
    </row>
    <row r="1408" spans="3:44" ht="18" customHeight="1">
      <c r="C1408" s="781" t="s">
        <v>940</v>
      </c>
      <c r="D1408" s="782"/>
      <c r="E1408" s="783"/>
      <c r="F1408" s="493" t="s">
        <v>105</v>
      </c>
      <c r="G1408" s="493"/>
      <c r="H1408" s="493"/>
      <c r="I1408" s="493"/>
      <c r="J1408" s="493"/>
      <c r="K1408" s="493"/>
      <c r="L1408" s="493"/>
      <c r="M1408" s="493"/>
      <c r="N1408" s="493"/>
      <c r="O1408" s="493"/>
      <c r="P1408" s="493"/>
      <c r="Q1408" s="493"/>
      <c r="R1408" s="493"/>
      <c r="S1408" s="493"/>
      <c r="T1408" s="493"/>
      <c r="U1408" s="493"/>
      <c r="V1408" s="493"/>
      <c r="W1408" s="493"/>
      <c r="X1408" s="493"/>
      <c r="Y1408" s="493"/>
      <c r="Z1408" s="493"/>
      <c r="AA1408" s="493"/>
      <c r="AB1408" s="493"/>
      <c r="AC1408" s="770"/>
      <c r="AD1408" s="771"/>
      <c r="AE1408" s="771"/>
      <c r="AF1408" s="790"/>
      <c r="AG1408" s="770">
        <v>2</v>
      </c>
      <c r="AH1408" s="771"/>
      <c r="AI1408" s="771"/>
      <c r="AJ1408" s="790"/>
      <c r="AK1408" s="449">
        <f>VLOOKUP(C1408,[5]MÃODEOBRA!A$1:D$65536,4,FALSE)</f>
        <v>22.98488</v>
      </c>
      <c r="AL1408" s="449"/>
      <c r="AM1408" s="449"/>
      <c r="AN1408" s="449"/>
      <c r="AO1408" s="491">
        <f>ROUND(AG1408*AK1408,2)</f>
        <v>45.97</v>
      </c>
      <c r="AP1408" s="491"/>
      <c r="AQ1408" s="491"/>
      <c r="AR1408" s="492"/>
    </row>
    <row r="1409" spans="3:44" ht="18" customHeight="1">
      <c r="C1409" s="758"/>
      <c r="D1409" s="759"/>
      <c r="E1409" s="760"/>
      <c r="F1409" s="493"/>
      <c r="G1409" s="493"/>
      <c r="H1409" s="493"/>
      <c r="I1409" s="493"/>
      <c r="J1409" s="493"/>
      <c r="K1409" s="493"/>
      <c r="L1409" s="493"/>
      <c r="M1409" s="493"/>
      <c r="N1409" s="493"/>
      <c r="O1409" s="493"/>
      <c r="P1409" s="493"/>
      <c r="Q1409" s="493"/>
      <c r="R1409" s="493"/>
      <c r="S1409" s="493"/>
      <c r="T1409" s="493"/>
      <c r="U1409" s="493"/>
      <c r="V1409" s="493"/>
      <c r="W1409" s="493"/>
      <c r="X1409" s="493"/>
      <c r="Y1409" s="493"/>
      <c r="Z1409" s="493"/>
      <c r="AA1409" s="493"/>
      <c r="AB1409" s="493"/>
      <c r="AC1409" s="740"/>
      <c r="AD1409" s="741"/>
      <c r="AE1409" s="741"/>
      <c r="AF1409" s="757"/>
      <c r="AG1409" s="740"/>
      <c r="AH1409" s="741"/>
      <c r="AI1409" s="741"/>
      <c r="AJ1409" s="757"/>
      <c r="AK1409" s="449"/>
      <c r="AL1409" s="449"/>
      <c r="AM1409" s="449"/>
      <c r="AN1409" s="449"/>
      <c r="AO1409" s="491"/>
      <c r="AP1409" s="491"/>
      <c r="AQ1409" s="491"/>
      <c r="AR1409" s="492"/>
    </row>
    <row r="1410" spans="3:44" ht="18" customHeight="1">
      <c r="C1410" s="758"/>
      <c r="D1410" s="759"/>
      <c r="E1410" s="760"/>
      <c r="F1410" s="796"/>
      <c r="G1410" s="797"/>
      <c r="H1410" s="797"/>
      <c r="I1410" s="797"/>
      <c r="J1410" s="797"/>
      <c r="K1410" s="797"/>
      <c r="L1410" s="797"/>
      <c r="M1410" s="797"/>
      <c r="N1410" s="797"/>
      <c r="O1410" s="797"/>
      <c r="P1410" s="797"/>
      <c r="Q1410" s="797"/>
      <c r="R1410" s="797"/>
      <c r="S1410" s="797"/>
      <c r="T1410" s="797"/>
      <c r="U1410" s="797"/>
      <c r="V1410" s="797"/>
      <c r="W1410" s="797"/>
      <c r="X1410" s="797"/>
      <c r="Y1410" s="797"/>
      <c r="Z1410" s="797"/>
      <c r="AA1410" s="797"/>
      <c r="AB1410" s="798"/>
      <c r="AC1410" s="740"/>
      <c r="AD1410" s="741"/>
      <c r="AE1410" s="741"/>
      <c r="AF1410" s="757"/>
      <c r="AG1410" s="740"/>
      <c r="AH1410" s="741"/>
      <c r="AI1410" s="741"/>
      <c r="AJ1410" s="757"/>
      <c r="AK1410" s="740"/>
      <c r="AL1410" s="741"/>
      <c r="AM1410" s="741"/>
      <c r="AN1410" s="757"/>
      <c r="AO1410" s="466"/>
      <c r="AP1410" s="467"/>
      <c r="AQ1410" s="467"/>
      <c r="AR1410" s="823"/>
    </row>
    <row r="1411" spans="3:44" ht="18" customHeight="1">
      <c r="C1411" s="758"/>
      <c r="D1411" s="759"/>
      <c r="E1411" s="760"/>
      <c r="F1411" s="796"/>
      <c r="G1411" s="797"/>
      <c r="H1411" s="797"/>
      <c r="I1411" s="797"/>
      <c r="J1411" s="797"/>
      <c r="K1411" s="797"/>
      <c r="L1411" s="797"/>
      <c r="M1411" s="797"/>
      <c r="N1411" s="797"/>
      <c r="O1411" s="797"/>
      <c r="P1411" s="797"/>
      <c r="Q1411" s="797"/>
      <c r="R1411" s="797"/>
      <c r="S1411" s="797"/>
      <c r="T1411" s="797"/>
      <c r="U1411" s="797"/>
      <c r="V1411" s="797"/>
      <c r="W1411" s="797"/>
      <c r="X1411" s="797"/>
      <c r="Y1411" s="797"/>
      <c r="Z1411" s="797"/>
      <c r="AA1411" s="797"/>
      <c r="AB1411" s="798"/>
      <c r="AC1411" s="740"/>
      <c r="AD1411" s="741"/>
      <c r="AE1411" s="741"/>
      <c r="AF1411" s="757"/>
      <c r="AG1411" s="740"/>
      <c r="AH1411" s="741"/>
      <c r="AI1411" s="741"/>
      <c r="AJ1411" s="757"/>
      <c r="AK1411" s="740"/>
      <c r="AL1411" s="741"/>
      <c r="AM1411" s="741"/>
      <c r="AN1411" s="757"/>
      <c r="AO1411" s="466"/>
      <c r="AP1411" s="467"/>
      <c r="AQ1411" s="467"/>
      <c r="AR1411" s="823"/>
    </row>
    <row r="1412" spans="3:44" ht="18" customHeight="1">
      <c r="C1412" s="758"/>
      <c r="D1412" s="759"/>
      <c r="E1412" s="760"/>
      <c r="F1412" s="796"/>
      <c r="G1412" s="797"/>
      <c r="H1412" s="797"/>
      <c r="I1412" s="797"/>
      <c r="J1412" s="797"/>
      <c r="K1412" s="797"/>
      <c r="L1412" s="797"/>
      <c r="M1412" s="797"/>
      <c r="N1412" s="797"/>
      <c r="O1412" s="797"/>
      <c r="P1412" s="797"/>
      <c r="Q1412" s="797"/>
      <c r="R1412" s="797"/>
      <c r="S1412" s="797"/>
      <c r="T1412" s="797"/>
      <c r="U1412" s="797"/>
      <c r="V1412" s="797"/>
      <c r="W1412" s="797"/>
      <c r="X1412" s="797"/>
      <c r="Y1412" s="797"/>
      <c r="Z1412" s="797"/>
      <c r="AA1412" s="797"/>
      <c r="AB1412" s="798"/>
      <c r="AC1412" s="740"/>
      <c r="AD1412" s="741"/>
      <c r="AE1412" s="741"/>
      <c r="AF1412" s="757"/>
      <c r="AG1412" s="740"/>
      <c r="AH1412" s="741"/>
      <c r="AI1412" s="741"/>
      <c r="AJ1412" s="757"/>
      <c r="AK1412" s="740"/>
      <c r="AL1412" s="741"/>
      <c r="AM1412" s="741"/>
      <c r="AN1412" s="757"/>
      <c r="AO1412" s="466"/>
      <c r="AP1412" s="467"/>
      <c r="AQ1412" s="467"/>
      <c r="AR1412" s="823"/>
    </row>
    <row r="1413" spans="3:44" ht="18" customHeight="1">
      <c r="C1413" s="758"/>
      <c r="D1413" s="759"/>
      <c r="E1413" s="760"/>
      <c r="F1413" s="796"/>
      <c r="G1413" s="797"/>
      <c r="H1413" s="797"/>
      <c r="I1413" s="797"/>
      <c r="J1413" s="797"/>
      <c r="K1413" s="797"/>
      <c r="L1413" s="797"/>
      <c r="M1413" s="797"/>
      <c r="N1413" s="797"/>
      <c r="O1413" s="797"/>
      <c r="P1413" s="797"/>
      <c r="Q1413" s="797"/>
      <c r="R1413" s="797"/>
      <c r="S1413" s="797"/>
      <c r="T1413" s="797"/>
      <c r="U1413" s="797"/>
      <c r="V1413" s="797"/>
      <c r="W1413" s="797"/>
      <c r="X1413" s="797"/>
      <c r="Y1413" s="797"/>
      <c r="Z1413" s="797"/>
      <c r="AA1413" s="797"/>
      <c r="AB1413" s="798"/>
      <c r="AC1413" s="740"/>
      <c r="AD1413" s="741"/>
      <c r="AE1413" s="741"/>
      <c r="AF1413" s="757"/>
      <c r="AG1413" s="740"/>
      <c r="AH1413" s="741"/>
      <c r="AI1413" s="741"/>
      <c r="AJ1413" s="757"/>
      <c r="AK1413" s="740"/>
      <c r="AL1413" s="741"/>
      <c r="AM1413" s="741"/>
      <c r="AN1413" s="757"/>
      <c r="AO1413" s="466"/>
      <c r="AP1413" s="467"/>
      <c r="AQ1413" s="467"/>
      <c r="AR1413" s="823"/>
    </row>
    <row r="1414" spans="3:44" ht="18" customHeight="1">
      <c r="C1414" s="758"/>
      <c r="D1414" s="759"/>
      <c r="E1414" s="760"/>
      <c r="F1414" s="796"/>
      <c r="G1414" s="797"/>
      <c r="H1414" s="797"/>
      <c r="I1414" s="797"/>
      <c r="J1414" s="797"/>
      <c r="K1414" s="797"/>
      <c r="L1414" s="797"/>
      <c r="M1414" s="797"/>
      <c r="N1414" s="797"/>
      <c r="O1414" s="797"/>
      <c r="P1414" s="797"/>
      <c r="Q1414" s="797"/>
      <c r="R1414" s="797"/>
      <c r="S1414" s="797"/>
      <c r="T1414" s="797"/>
      <c r="U1414" s="797"/>
      <c r="V1414" s="797"/>
      <c r="W1414" s="797"/>
      <c r="X1414" s="797"/>
      <c r="Y1414" s="797"/>
      <c r="Z1414" s="797"/>
      <c r="AA1414" s="797"/>
      <c r="AB1414" s="798"/>
      <c r="AC1414" s="740"/>
      <c r="AD1414" s="741"/>
      <c r="AE1414" s="741"/>
      <c r="AF1414" s="757"/>
      <c r="AG1414" s="740"/>
      <c r="AH1414" s="741"/>
      <c r="AI1414" s="741"/>
      <c r="AJ1414" s="757"/>
      <c r="AK1414" s="740"/>
      <c r="AL1414" s="741"/>
      <c r="AM1414" s="741"/>
      <c r="AN1414" s="757"/>
      <c r="AO1414" s="466"/>
      <c r="AP1414" s="467"/>
      <c r="AQ1414" s="467"/>
      <c r="AR1414" s="823"/>
    </row>
    <row r="1415" spans="3:44" ht="18" customHeight="1">
      <c r="C1415" s="758"/>
      <c r="D1415" s="759"/>
      <c r="E1415" s="760"/>
      <c r="F1415" s="796"/>
      <c r="G1415" s="797"/>
      <c r="H1415" s="797"/>
      <c r="I1415" s="797"/>
      <c r="J1415" s="797"/>
      <c r="K1415" s="797"/>
      <c r="L1415" s="797"/>
      <c r="M1415" s="797"/>
      <c r="N1415" s="797"/>
      <c r="O1415" s="797"/>
      <c r="P1415" s="797"/>
      <c r="Q1415" s="797"/>
      <c r="R1415" s="797"/>
      <c r="S1415" s="797"/>
      <c r="T1415" s="797"/>
      <c r="U1415" s="797"/>
      <c r="V1415" s="797"/>
      <c r="W1415" s="797"/>
      <c r="X1415" s="797"/>
      <c r="Y1415" s="797"/>
      <c r="Z1415" s="797"/>
      <c r="AA1415" s="797"/>
      <c r="AB1415" s="798"/>
      <c r="AC1415" s="740"/>
      <c r="AD1415" s="741"/>
      <c r="AE1415" s="741"/>
      <c r="AF1415" s="757"/>
      <c r="AG1415" s="740"/>
      <c r="AH1415" s="741"/>
      <c r="AI1415" s="741"/>
      <c r="AJ1415" s="757"/>
      <c r="AK1415" s="740"/>
      <c r="AL1415" s="741"/>
      <c r="AM1415" s="741"/>
      <c r="AN1415" s="757"/>
      <c r="AO1415" s="466"/>
      <c r="AP1415" s="467"/>
      <c r="AQ1415" s="467"/>
      <c r="AR1415" s="823"/>
    </row>
    <row r="1416" spans="3:44" ht="18" customHeight="1">
      <c r="C1416" s="814"/>
      <c r="D1416" s="815"/>
      <c r="E1416" s="815"/>
      <c r="F1416" s="815"/>
      <c r="G1416" s="815"/>
      <c r="H1416" s="815"/>
      <c r="I1416" s="815"/>
      <c r="J1416" s="815"/>
      <c r="K1416" s="815"/>
      <c r="L1416" s="815"/>
      <c r="M1416" s="815"/>
      <c r="N1416" s="815"/>
      <c r="O1416" s="815"/>
      <c r="P1416" s="815"/>
      <c r="Q1416" s="815"/>
      <c r="R1416" s="815"/>
      <c r="S1416" s="815"/>
      <c r="T1416" s="815"/>
      <c r="U1416" s="815"/>
      <c r="V1416" s="815"/>
      <c r="W1416" s="815"/>
      <c r="X1416" s="815"/>
      <c r="Y1416" s="816" t="s">
        <v>78</v>
      </c>
      <c r="Z1416" s="816"/>
      <c r="AA1416" s="816"/>
      <c r="AB1416" s="816"/>
      <c r="AC1416" s="816"/>
      <c r="AD1416" s="816"/>
      <c r="AE1416" s="816"/>
      <c r="AF1416" s="483"/>
      <c r="AG1416" s="817" t="s">
        <v>413</v>
      </c>
      <c r="AH1416" s="818"/>
      <c r="AI1416" s="818"/>
      <c r="AJ1416" s="819"/>
      <c r="AK1416" s="466">
        <f>SUM(AO1408:AR1415)</f>
        <v>45.97</v>
      </c>
      <c r="AL1416" s="467"/>
      <c r="AM1416" s="467"/>
      <c r="AN1416" s="468"/>
      <c r="AO1416" s="820">
        <f>ROUND(AG1416*AK1416,2)</f>
        <v>7.13</v>
      </c>
      <c r="AP1416" s="821"/>
      <c r="AQ1416" s="821"/>
      <c r="AR1416" s="822"/>
    </row>
    <row r="1417" spans="3:44" ht="18" customHeight="1">
      <c r="C1417" s="743"/>
      <c r="D1417" s="744"/>
      <c r="E1417" s="744"/>
      <c r="F1417" s="744"/>
      <c r="G1417" s="744"/>
      <c r="H1417" s="744"/>
      <c r="I1417" s="744"/>
      <c r="J1417" s="744"/>
      <c r="K1417" s="744"/>
      <c r="L1417" s="744"/>
      <c r="M1417" s="744"/>
      <c r="N1417" s="744"/>
      <c r="O1417" s="744"/>
      <c r="P1417" s="744"/>
      <c r="Q1417" s="744"/>
      <c r="R1417" s="744"/>
      <c r="S1417" s="744"/>
      <c r="T1417" s="744"/>
      <c r="U1417" s="744"/>
      <c r="V1417" s="744"/>
      <c r="W1417" s="744"/>
      <c r="X1417" s="744"/>
      <c r="Y1417" s="745" t="s">
        <v>79</v>
      </c>
      <c r="Z1417" s="745"/>
      <c r="AA1417" s="745"/>
      <c r="AB1417" s="745"/>
      <c r="AC1417" s="745"/>
      <c r="AD1417" s="745"/>
      <c r="AE1417" s="745"/>
      <c r="AF1417" s="745"/>
      <c r="AG1417" s="745"/>
      <c r="AH1417" s="745"/>
      <c r="AI1417" s="745"/>
      <c r="AJ1417" s="745"/>
      <c r="AK1417" s="745"/>
      <c r="AL1417" s="745"/>
      <c r="AM1417" s="745"/>
      <c r="AN1417" s="430"/>
      <c r="AO1417" s="477">
        <f>SUM(AO1408:AR1416)</f>
        <v>53.1</v>
      </c>
      <c r="AP1417" s="746"/>
      <c r="AQ1417" s="746"/>
      <c r="AR1417" s="747"/>
    </row>
    <row r="1419" spans="3:44" ht="18" customHeight="1">
      <c r="C1419" s="802"/>
      <c r="D1419" s="803"/>
      <c r="E1419" s="803"/>
      <c r="F1419" s="803"/>
      <c r="G1419" s="803"/>
      <c r="H1419" s="803"/>
      <c r="I1419" s="803"/>
      <c r="J1419" s="803"/>
      <c r="K1419" s="803"/>
      <c r="L1419" s="803"/>
      <c r="M1419" s="803"/>
      <c r="N1419" s="803"/>
      <c r="O1419" s="803"/>
      <c r="P1419" s="803"/>
      <c r="Q1419" s="803"/>
      <c r="R1419" s="803"/>
      <c r="S1419" s="803"/>
      <c r="T1419" s="803"/>
      <c r="U1419" s="803"/>
      <c r="V1419" s="803"/>
      <c r="W1419" s="803"/>
      <c r="X1419" s="803"/>
      <c r="Y1419" s="804" t="s">
        <v>80</v>
      </c>
      <c r="Z1419" s="805"/>
      <c r="AA1419" s="805"/>
      <c r="AB1419" s="805"/>
      <c r="AC1419" s="805"/>
      <c r="AD1419" s="805"/>
      <c r="AE1419" s="805"/>
      <c r="AF1419" s="805"/>
      <c r="AG1419" s="805"/>
      <c r="AH1419" s="805"/>
      <c r="AI1419" s="805"/>
      <c r="AJ1419" s="805"/>
      <c r="AK1419" s="805"/>
      <c r="AL1419" s="805"/>
      <c r="AM1419" s="805"/>
      <c r="AN1419" s="806"/>
      <c r="AO1419" s="807">
        <f>AO1404+AO1417</f>
        <v>57.94</v>
      </c>
      <c r="AP1419" s="808"/>
      <c r="AQ1419" s="808"/>
      <c r="AR1419" s="809"/>
    </row>
    <row r="1420" spans="3:44" ht="18" customHeight="1">
      <c r="C1420" s="810" t="s">
        <v>81</v>
      </c>
      <c r="D1420" s="745"/>
      <c r="E1420" s="745"/>
      <c r="F1420" s="745"/>
      <c r="G1420" s="745"/>
      <c r="H1420" s="745"/>
      <c r="I1420" s="745"/>
      <c r="J1420" s="745"/>
      <c r="K1420" s="745"/>
      <c r="L1420" s="745"/>
      <c r="M1420" s="745"/>
      <c r="N1420" s="745"/>
      <c r="O1420" s="745"/>
      <c r="P1420" s="430"/>
      <c r="Q1420" s="477">
        <v>1</v>
      </c>
      <c r="R1420" s="746"/>
      <c r="S1420" s="746"/>
      <c r="T1420" s="746"/>
      <c r="U1420" s="746"/>
      <c r="V1420" s="745" t="s">
        <v>194</v>
      </c>
      <c r="W1420" s="745"/>
      <c r="X1420" s="430"/>
      <c r="Y1420" s="804" t="s">
        <v>82</v>
      </c>
      <c r="Z1420" s="805"/>
      <c r="AA1420" s="805"/>
      <c r="AB1420" s="805"/>
      <c r="AC1420" s="805"/>
      <c r="AD1420" s="805"/>
      <c r="AE1420" s="805"/>
      <c r="AF1420" s="805"/>
      <c r="AG1420" s="805"/>
      <c r="AH1420" s="805"/>
      <c r="AI1420" s="805"/>
      <c r="AJ1420" s="805"/>
      <c r="AK1420" s="805"/>
      <c r="AL1420" s="805"/>
      <c r="AM1420" s="805"/>
      <c r="AN1420" s="806"/>
      <c r="AO1420" s="811">
        <f>ROUND(AO1419/Q1420,2)</f>
        <v>57.94</v>
      </c>
      <c r="AP1420" s="812"/>
      <c r="AQ1420" s="812"/>
      <c r="AR1420" s="813"/>
    </row>
    <row r="1422" spans="3:44" ht="18" customHeight="1">
      <c r="C1422" s="794" t="s">
        <v>43</v>
      </c>
      <c r="D1422" s="774"/>
      <c r="E1422" s="775"/>
      <c r="F1422" s="773" t="s">
        <v>83</v>
      </c>
      <c r="G1422" s="774"/>
      <c r="H1422" s="774"/>
      <c r="I1422" s="774"/>
      <c r="J1422" s="774"/>
      <c r="K1422" s="774"/>
      <c r="L1422" s="774"/>
      <c r="M1422" s="774"/>
      <c r="N1422" s="774"/>
      <c r="O1422" s="774"/>
      <c r="P1422" s="774"/>
      <c r="Q1422" s="774"/>
      <c r="R1422" s="774"/>
      <c r="S1422" s="774"/>
      <c r="T1422" s="774"/>
      <c r="U1422" s="774"/>
      <c r="V1422" s="774"/>
      <c r="W1422" s="774"/>
      <c r="X1422" s="774"/>
      <c r="Y1422" s="774"/>
      <c r="Z1422" s="774"/>
      <c r="AA1422" s="774"/>
      <c r="AB1422" s="775"/>
      <c r="AC1422" s="773" t="s">
        <v>84</v>
      </c>
      <c r="AD1422" s="774"/>
      <c r="AE1422" s="774"/>
      <c r="AF1422" s="775"/>
      <c r="AG1422" s="773" t="s">
        <v>85</v>
      </c>
      <c r="AH1422" s="774"/>
      <c r="AI1422" s="774"/>
      <c r="AJ1422" s="775"/>
      <c r="AK1422" s="773" t="s">
        <v>86</v>
      </c>
      <c r="AL1422" s="774"/>
      <c r="AM1422" s="774"/>
      <c r="AN1422" s="775"/>
      <c r="AO1422" s="773" t="s">
        <v>87</v>
      </c>
      <c r="AP1422" s="774"/>
      <c r="AQ1422" s="774"/>
      <c r="AR1422" s="779"/>
    </row>
    <row r="1423" spans="3:44" ht="18" customHeight="1">
      <c r="C1423" s="795"/>
      <c r="D1423" s="777"/>
      <c r="E1423" s="778"/>
      <c r="F1423" s="776"/>
      <c r="G1423" s="777"/>
      <c r="H1423" s="777"/>
      <c r="I1423" s="777"/>
      <c r="J1423" s="777"/>
      <c r="K1423" s="777"/>
      <c r="L1423" s="777"/>
      <c r="M1423" s="777"/>
      <c r="N1423" s="777"/>
      <c r="O1423" s="777"/>
      <c r="P1423" s="777"/>
      <c r="Q1423" s="777"/>
      <c r="R1423" s="777"/>
      <c r="S1423" s="777"/>
      <c r="T1423" s="777"/>
      <c r="U1423" s="777"/>
      <c r="V1423" s="777"/>
      <c r="W1423" s="777"/>
      <c r="X1423" s="777"/>
      <c r="Y1423" s="777"/>
      <c r="Z1423" s="777"/>
      <c r="AA1423" s="777"/>
      <c r="AB1423" s="778"/>
      <c r="AC1423" s="776"/>
      <c r="AD1423" s="777"/>
      <c r="AE1423" s="777"/>
      <c r="AF1423" s="778"/>
      <c r="AG1423" s="776"/>
      <c r="AH1423" s="777"/>
      <c r="AI1423" s="777"/>
      <c r="AJ1423" s="778"/>
      <c r="AK1423" s="776"/>
      <c r="AL1423" s="777"/>
      <c r="AM1423" s="777"/>
      <c r="AN1423" s="778"/>
      <c r="AO1423" s="776"/>
      <c r="AP1423" s="777"/>
      <c r="AQ1423" s="777"/>
      <c r="AR1423" s="780"/>
    </row>
    <row r="1424" spans="3:44" ht="18" customHeight="1">
      <c r="C1424" s="758" t="s">
        <v>1377</v>
      </c>
      <c r="D1424" s="759"/>
      <c r="E1424" s="760"/>
      <c r="F1424" s="796" t="s">
        <v>417</v>
      </c>
      <c r="G1424" s="797"/>
      <c r="H1424" s="797"/>
      <c r="I1424" s="797"/>
      <c r="J1424" s="797"/>
      <c r="K1424" s="797"/>
      <c r="L1424" s="797"/>
      <c r="M1424" s="797"/>
      <c r="N1424" s="797"/>
      <c r="O1424" s="797"/>
      <c r="P1424" s="797"/>
      <c r="Q1424" s="797"/>
      <c r="R1424" s="797"/>
      <c r="S1424" s="797"/>
      <c r="T1424" s="797"/>
      <c r="U1424" s="797"/>
      <c r="V1424" s="797"/>
      <c r="W1424" s="797"/>
      <c r="X1424" s="797"/>
      <c r="Y1424" s="797"/>
      <c r="Z1424" s="797"/>
      <c r="AA1424" s="797"/>
      <c r="AB1424" s="798"/>
      <c r="AC1424" s="799" t="s">
        <v>245</v>
      </c>
      <c r="AD1424" s="800"/>
      <c r="AE1424" s="800"/>
      <c r="AF1424" s="801"/>
      <c r="AG1424" s="466">
        <f>TRUNC(373.21/1.2031,2)</f>
        <v>310.2</v>
      </c>
      <c r="AH1424" s="467"/>
      <c r="AI1424" s="467"/>
      <c r="AJ1424" s="468"/>
      <c r="AK1424" s="737">
        <v>1</v>
      </c>
      <c r="AL1424" s="738"/>
      <c r="AM1424" s="738"/>
      <c r="AN1424" s="739"/>
      <c r="AO1424" s="740">
        <f>ROUND(AG1424*AK1424,2)</f>
        <v>310.2</v>
      </c>
      <c r="AP1424" s="741"/>
      <c r="AQ1424" s="741"/>
      <c r="AR1424" s="742"/>
    </row>
    <row r="1425" spans="3:44" ht="18" customHeight="1">
      <c r="C1425" s="758" t="s">
        <v>1376</v>
      </c>
      <c r="D1425" s="759"/>
      <c r="E1425" s="760"/>
      <c r="F1425" s="796" t="s">
        <v>370</v>
      </c>
      <c r="G1425" s="797"/>
      <c r="H1425" s="797"/>
      <c r="I1425" s="797"/>
      <c r="J1425" s="797"/>
      <c r="K1425" s="797"/>
      <c r="L1425" s="797"/>
      <c r="M1425" s="797"/>
      <c r="N1425" s="797"/>
      <c r="O1425" s="797"/>
      <c r="P1425" s="797"/>
      <c r="Q1425" s="797"/>
      <c r="R1425" s="797"/>
      <c r="S1425" s="797"/>
      <c r="T1425" s="797"/>
      <c r="U1425" s="797"/>
      <c r="V1425" s="797"/>
      <c r="W1425" s="797"/>
      <c r="X1425" s="797"/>
      <c r="Y1425" s="797"/>
      <c r="Z1425" s="797"/>
      <c r="AA1425" s="797"/>
      <c r="AB1425" s="798"/>
      <c r="AC1425" s="799" t="s">
        <v>309</v>
      </c>
      <c r="AD1425" s="800"/>
      <c r="AE1425" s="800"/>
      <c r="AF1425" s="801"/>
      <c r="AG1425" s="466">
        <f>TRUNC(43.8/1.2031,2)</f>
        <v>36.4</v>
      </c>
      <c r="AH1425" s="467"/>
      <c r="AI1425" s="467"/>
      <c r="AJ1425" s="468"/>
      <c r="AK1425" s="737">
        <v>5</v>
      </c>
      <c r="AL1425" s="738"/>
      <c r="AM1425" s="738"/>
      <c r="AN1425" s="739"/>
      <c r="AO1425" s="740">
        <f>ROUND(AG1425*AK1425,2)</f>
        <v>182</v>
      </c>
      <c r="AP1425" s="741"/>
      <c r="AQ1425" s="741"/>
      <c r="AR1425" s="742"/>
    </row>
    <row r="1426" spans="3:44" ht="18" customHeight="1">
      <c r="C1426" s="758"/>
      <c r="D1426" s="759"/>
      <c r="E1426" s="760"/>
      <c r="F1426" s="796"/>
      <c r="G1426" s="797"/>
      <c r="H1426" s="797"/>
      <c r="I1426" s="797"/>
      <c r="J1426" s="797"/>
      <c r="K1426" s="797"/>
      <c r="L1426" s="797"/>
      <c r="M1426" s="797"/>
      <c r="N1426" s="797"/>
      <c r="O1426" s="797"/>
      <c r="P1426" s="797"/>
      <c r="Q1426" s="797"/>
      <c r="R1426" s="797"/>
      <c r="S1426" s="797"/>
      <c r="T1426" s="797"/>
      <c r="U1426" s="797"/>
      <c r="V1426" s="797"/>
      <c r="W1426" s="797"/>
      <c r="X1426" s="797"/>
      <c r="Y1426" s="797"/>
      <c r="Z1426" s="797"/>
      <c r="AA1426" s="797"/>
      <c r="AB1426" s="798"/>
      <c r="AC1426" s="799"/>
      <c r="AD1426" s="800"/>
      <c r="AE1426" s="800"/>
      <c r="AF1426" s="801"/>
      <c r="AG1426" s="466"/>
      <c r="AH1426" s="467"/>
      <c r="AI1426" s="467"/>
      <c r="AJ1426" s="468"/>
      <c r="AK1426" s="737"/>
      <c r="AL1426" s="738"/>
      <c r="AM1426" s="738"/>
      <c r="AN1426" s="739"/>
      <c r="AO1426" s="740"/>
      <c r="AP1426" s="741"/>
      <c r="AQ1426" s="741"/>
      <c r="AR1426" s="742"/>
    </row>
    <row r="1427" spans="3:44" ht="18" customHeight="1">
      <c r="C1427" s="758"/>
      <c r="D1427" s="759"/>
      <c r="E1427" s="760"/>
      <c r="F1427" s="796"/>
      <c r="G1427" s="797"/>
      <c r="H1427" s="797"/>
      <c r="I1427" s="797"/>
      <c r="J1427" s="797"/>
      <c r="K1427" s="797"/>
      <c r="L1427" s="797"/>
      <c r="M1427" s="797"/>
      <c r="N1427" s="797"/>
      <c r="O1427" s="797"/>
      <c r="P1427" s="797"/>
      <c r="Q1427" s="797"/>
      <c r="R1427" s="797"/>
      <c r="S1427" s="797"/>
      <c r="T1427" s="797"/>
      <c r="U1427" s="797"/>
      <c r="V1427" s="797"/>
      <c r="W1427" s="797"/>
      <c r="X1427" s="797"/>
      <c r="Y1427" s="797"/>
      <c r="Z1427" s="797"/>
      <c r="AA1427" s="797"/>
      <c r="AB1427" s="798"/>
      <c r="AC1427" s="799"/>
      <c r="AD1427" s="800"/>
      <c r="AE1427" s="800"/>
      <c r="AF1427" s="801"/>
      <c r="AG1427" s="466"/>
      <c r="AH1427" s="467"/>
      <c r="AI1427" s="467"/>
      <c r="AJ1427" s="468"/>
      <c r="AK1427" s="737"/>
      <c r="AL1427" s="738"/>
      <c r="AM1427" s="738"/>
      <c r="AN1427" s="739"/>
      <c r="AO1427" s="740"/>
      <c r="AP1427" s="741"/>
      <c r="AQ1427" s="741"/>
      <c r="AR1427" s="742"/>
    </row>
    <row r="1428" spans="3:44" ht="18" customHeight="1">
      <c r="C1428" s="758"/>
      <c r="D1428" s="759"/>
      <c r="E1428" s="760"/>
      <c r="F1428" s="796"/>
      <c r="G1428" s="797"/>
      <c r="H1428" s="797"/>
      <c r="I1428" s="797"/>
      <c r="J1428" s="797"/>
      <c r="K1428" s="797"/>
      <c r="L1428" s="797"/>
      <c r="M1428" s="797"/>
      <c r="N1428" s="797"/>
      <c r="O1428" s="797"/>
      <c r="P1428" s="797"/>
      <c r="Q1428" s="797"/>
      <c r="R1428" s="797"/>
      <c r="S1428" s="797"/>
      <c r="T1428" s="797"/>
      <c r="U1428" s="797"/>
      <c r="V1428" s="797"/>
      <c r="W1428" s="797"/>
      <c r="X1428" s="797"/>
      <c r="Y1428" s="797"/>
      <c r="Z1428" s="797"/>
      <c r="AA1428" s="797"/>
      <c r="AB1428" s="798"/>
      <c r="AC1428" s="799"/>
      <c r="AD1428" s="800"/>
      <c r="AE1428" s="800"/>
      <c r="AF1428" s="801"/>
      <c r="AG1428" s="466"/>
      <c r="AH1428" s="467"/>
      <c r="AI1428" s="467"/>
      <c r="AJ1428" s="468"/>
      <c r="AK1428" s="737"/>
      <c r="AL1428" s="738"/>
      <c r="AM1428" s="738"/>
      <c r="AN1428" s="739"/>
      <c r="AO1428" s="740"/>
      <c r="AP1428" s="741"/>
      <c r="AQ1428" s="741"/>
      <c r="AR1428" s="742"/>
    </row>
    <row r="1429" spans="3:44" ht="18" customHeight="1">
      <c r="C1429" s="758"/>
      <c r="D1429" s="759"/>
      <c r="E1429" s="760"/>
      <c r="F1429" s="796"/>
      <c r="G1429" s="797"/>
      <c r="H1429" s="797"/>
      <c r="I1429" s="797"/>
      <c r="J1429" s="797"/>
      <c r="K1429" s="797"/>
      <c r="L1429" s="797"/>
      <c r="M1429" s="797"/>
      <c r="N1429" s="797"/>
      <c r="O1429" s="797"/>
      <c r="P1429" s="797"/>
      <c r="Q1429" s="797"/>
      <c r="R1429" s="797"/>
      <c r="S1429" s="797"/>
      <c r="T1429" s="797"/>
      <c r="U1429" s="797"/>
      <c r="V1429" s="797"/>
      <c r="W1429" s="797"/>
      <c r="X1429" s="797"/>
      <c r="Y1429" s="797"/>
      <c r="Z1429" s="797"/>
      <c r="AA1429" s="797"/>
      <c r="AB1429" s="798"/>
      <c r="AC1429" s="799"/>
      <c r="AD1429" s="800"/>
      <c r="AE1429" s="800"/>
      <c r="AF1429" s="801"/>
      <c r="AG1429" s="466"/>
      <c r="AH1429" s="467"/>
      <c r="AI1429" s="467"/>
      <c r="AJ1429" s="468"/>
      <c r="AK1429" s="737"/>
      <c r="AL1429" s="738"/>
      <c r="AM1429" s="738"/>
      <c r="AN1429" s="739"/>
      <c r="AO1429" s="740"/>
      <c r="AP1429" s="741"/>
      <c r="AQ1429" s="741"/>
      <c r="AR1429" s="742"/>
    </row>
    <row r="1430" spans="3:44" ht="18" customHeight="1">
      <c r="C1430" s="758"/>
      <c r="D1430" s="759"/>
      <c r="E1430" s="760"/>
      <c r="F1430" s="796"/>
      <c r="G1430" s="797"/>
      <c r="H1430" s="797"/>
      <c r="I1430" s="797"/>
      <c r="J1430" s="797"/>
      <c r="K1430" s="797"/>
      <c r="L1430" s="797"/>
      <c r="M1430" s="797"/>
      <c r="N1430" s="797"/>
      <c r="O1430" s="797"/>
      <c r="P1430" s="797"/>
      <c r="Q1430" s="797"/>
      <c r="R1430" s="797"/>
      <c r="S1430" s="797"/>
      <c r="T1430" s="797"/>
      <c r="U1430" s="797"/>
      <c r="V1430" s="797"/>
      <c r="W1430" s="797"/>
      <c r="X1430" s="797"/>
      <c r="Y1430" s="797"/>
      <c r="Z1430" s="797"/>
      <c r="AA1430" s="797"/>
      <c r="AB1430" s="798"/>
      <c r="AC1430" s="799"/>
      <c r="AD1430" s="800"/>
      <c r="AE1430" s="800"/>
      <c r="AF1430" s="801"/>
      <c r="AG1430" s="466"/>
      <c r="AH1430" s="467"/>
      <c r="AI1430" s="467"/>
      <c r="AJ1430" s="468"/>
      <c r="AK1430" s="737"/>
      <c r="AL1430" s="738"/>
      <c r="AM1430" s="738"/>
      <c r="AN1430" s="739"/>
      <c r="AO1430" s="740"/>
      <c r="AP1430" s="741"/>
      <c r="AQ1430" s="741"/>
      <c r="AR1430" s="742"/>
    </row>
    <row r="1431" spans="3:44" ht="18" customHeight="1">
      <c r="C1431" s="758"/>
      <c r="D1431" s="759"/>
      <c r="E1431" s="760"/>
      <c r="F1431" s="796"/>
      <c r="G1431" s="797"/>
      <c r="H1431" s="797"/>
      <c r="I1431" s="797"/>
      <c r="J1431" s="797"/>
      <c r="K1431" s="797"/>
      <c r="L1431" s="797"/>
      <c r="M1431" s="797"/>
      <c r="N1431" s="797"/>
      <c r="O1431" s="797"/>
      <c r="P1431" s="797"/>
      <c r="Q1431" s="797"/>
      <c r="R1431" s="797"/>
      <c r="S1431" s="797"/>
      <c r="T1431" s="797"/>
      <c r="U1431" s="797"/>
      <c r="V1431" s="797"/>
      <c r="W1431" s="797"/>
      <c r="X1431" s="797"/>
      <c r="Y1431" s="797"/>
      <c r="Z1431" s="797"/>
      <c r="AA1431" s="797"/>
      <c r="AB1431" s="798"/>
      <c r="AC1431" s="799"/>
      <c r="AD1431" s="800"/>
      <c r="AE1431" s="800"/>
      <c r="AF1431" s="801"/>
      <c r="AG1431" s="466"/>
      <c r="AH1431" s="467"/>
      <c r="AI1431" s="467"/>
      <c r="AJ1431" s="468"/>
      <c r="AK1431" s="737"/>
      <c r="AL1431" s="738"/>
      <c r="AM1431" s="738"/>
      <c r="AN1431" s="739"/>
      <c r="AO1431" s="740"/>
      <c r="AP1431" s="741"/>
      <c r="AQ1431" s="741"/>
      <c r="AR1431" s="742"/>
    </row>
    <row r="1432" spans="3:44" ht="18" customHeight="1">
      <c r="C1432" s="743"/>
      <c r="D1432" s="744"/>
      <c r="E1432" s="744"/>
      <c r="F1432" s="744"/>
      <c r="G1432" s="744"/>
      <c r="H1432" s="744"/>
      <c r="I1432" s="744"/>
      <c r="J1432" s="744"/>
      <c r="K1432" s="744"/>
      <c r="L1432" s="744"/>
      <c r="M1432" s="744"/>
      <c r="N1432" s="744"/>
      <c r="O1432" s="744"/>
      <c r="P1432" s="744"/>
      <c r="Q1432" s="744"/>
      <c r="R1432" s="744"/>
      <c r="S1432" s="744"/>
      <c r="T1432" s="744"/>
      <c r="U1432" s="744"/>
      <c r="V1432" s="744"/>
      <c r="W1432" s="744"/>
      <c r="X1432" s="744"/>
      <c r="Y1432" s="745" t="s">
        <v>88</v>
      </c>
      <c r="Z1432" s="745"/>
      <c r="AA1432" s="745"/>
      <c r="AB1432" s="745"/>
      <c r="AC1432" s="745"/>
      <c r="AD1432" s="745"/>
      <c r="AE1432" s="745"/>
      <c r="AF1432" s="745"/>
      <c r="AG1432" s="745"/>
      <c r="AH1432" s="745"/>
      <c r="AI1432" s="745"/>
      <c r="AJ1432" s="745"/>
      <c r="AK1432" s="745"/>
      <c r="AL1432" s="745"/>
      <c r="AM1432" s="745"/>
      <c r="AN1432" s="430"/>
      <c r="AO1432" s="477">
        <f>SUM(AO1424:AR1431)</f>
        <v>492.2</v>
      </c>
      <c r="AP1432" s="746"/>
      <c r="AQ1432" s="746"/>
      <c r="AR1432" s="747"/>
    </row>
    <row r="1434" spans="3:44" ht="18" customHeight="1">
      <c r="C1434" s="794" t="s">
        <v>43</v>
      </c>
      <c r="D1434" s="774"/>
      <c r="E1434" s="775"/>
      <c r="F1434" s="773" t="s">
        <v>89</v>
      </c>
      <c r="G1434" s="774"/>
      <c r="H1434" s="774"/>
      <c r="I1434" s="774"/>
      <c r="J1434" s="774"/>
      <c r="K1434" s="774"/>
      <c r="L1434" s="774"/>
      <c r="M1434" s="774"/>
      <c r="N1434" s="774"/>
      <c r="O1434" s="774"/>
      <c r="P1434" s="774"/>
      <c r="Q1434" s="774"/>
      <c r="R1434" s="775"/>
      <c r="S1434" s="773" t="s">
        <v>90</v>
      </c>
      <c r="T1434" s="774"/>
      <c r="U1434" s="775"/>
      <c r="V1434" s="773" t="s">
        <v>91</v>
      </c>
      <c r="W1434" s="774"/>
      <c r="X1434" s="775"/>
      <c r="Y1434" s="773" t="s">
        <v>92</v>
      </c>
      <c r="Z1434" s="774"/>
      <c r="AA1434" s="774"/>
      <c r="AB1434" s="774"/>
      <c r="AC1434" s="774"/>
      <c r="AD1434" s="775"/>
      <c r="AE1434" s="773" t="s">
        <v>93</v>
      </c>
      <c r="AF1434" s="774"/>
      <c r="AG1434" s="775"/>
      <c r="AH1434" s="773" t="s">
        <v>94</v>
      </c>
      <c r="AI1434" s="774"/>
      <c r="AJ1434" s="775"/>
      <c r="AK1434" s="773" t="s">
        <v>86</v>
      </c>
      <c r="AL1434" s="774"/>
      <c r="AM1434" s="774"/>
      <c r="AN1434" s="775"/>
      <c r="AO1434" s="773" t="s">
        <v>87</v>
      </c>
      <c r="AP1434" s="774"/>
      <c r="AQ1434" s="774"/>
      <c r="AR1434" s="779"/>
    </row>
    <row r="1435" spans="3:44" ht="18" customHeight="1">
      <c r="C1435" s="795"/>
      <c r="D1435" s="777"/>
      <c r="E1435" s="778"/>
      <c r="F1435" s="776"/>
      <c r="G1435" s="777"/>
      <c r="H1435" s="777"/>
      <c r="I1435" s="777"/>
      <c r="J1435" s="777"/>
      <c r="K1435" s="777"/>
      <c r="L1435" s="777"/>
      <c r="M1435" s="777"/>
      <c r="N1435" s="777"/>
      <c r="O1435" s="777"/>
      <c r="P1435" s="777"/>
      <c r="Q1435" s="777"/>
      <c r="R1435" s="778"/>
      <c r="S1435" s="776"/>
      <c r="T1435" s="777"/>
      <c r="U1435" s="778"/>
      <c r="V1435" s="776"/>
      <c r="W1435" s="777"/>
      <c r="X1435" s="778"/>
      <c r="Y1435" s="776"/>
      <c r="Z1435" s="777"/>
      <c r="AA1435" s="777"/>
      <c r="AB1435" s="777"/>
      <c r="AC1435" s="777"/>
      <c r="AD1435" s="778"/>
      <c r="AE1435" s="776"/>
      <c r="AF1435" s="777"/>
      <c r="AG1435" s="778"/>
      <c r="AH1435" s="776"/>
      <c r="AI1435" s="777"/>
      <c r="AJ1435" s="778"/>
      <c r="AK1435" s="776"/>
      <c r="AL1435" s="777"/>
      <c r="AM1435" s="777"/>
      <c r="AN1435" s="778"/>
      <c r="AO1435" s="776"/>
      <c r="AP1435" s="777"/>
      <c r="AQ1435" s="777"/>
      <c r="AR1435" s="780"/>
    </row>
    <row r="1436" spans="3:44" ht="18" customHeight="1">
      <c r="C1436" s="781"/>
      <c r="D1436" s="782"/>
      <c r="E1436" s="783"/>
      <c r="F1436" s="457"/>
      <c r="G1436" s="457"/>
      <c r="H1436" s="457"/>
      <c r="I1436" s="457"/>
      <c r="J1436" s="457"/>
      <c r="K1436" s="457"/>
      <c r="L1436" s="457"/>
      <c r="M1436" s="457"/>
      <c r="N1436" s="457"/>
      <c r="O1436" s="457"/>
      <c r="P1436" s="457"/>
      <c r="Q1436" s="457"/>
      <c r="R1436" s="457"/>
      <c r="S1436" s="784"/>
      <c r="T1436" s="785"/>
      <c r="U1436" s="786"/>
      <c r="V1436" s="784"/>
      <c r="W1436" s="785"/>
      <c r="X1436" s="786"/>
      <c r="Y1436" s="787"/>
      <c r="Z1436" s="788"/>
      <c r="AA1436" s="788"/>
      <c r="AB1436" s="788"/>
      <c r="AC1436" s="788"/>
      <c r="AD1436" s="789"/>
      <c r="AE1436" s="449"/>
      <c r="AF1436" s="449"/>
      <c r="AG1436" s="449"/>
      <c r="AH1436" s="770"/>
      <c r="AI1436" s="771"/>
      <c r="AJ1436" s="790"/>
      <c r="AK1436" s="791"/>
      <c r="AL1436" s="792"/>
      <c r="AM1436" s="792"/>
      <c r="AN1436" s="793"/>
      <c r="AO1436" s="770"/>
      <c r="AP1436" s="771"/>
      <c r="AQ1436" s="771"/>
      <c r="AR1436" s="772"/>
    </row>
    <row r="1437" spans="3:44" ht="18" customHeight="1">
      <c r="C1437" s="758"/>
      <c r="D1437" s="759"/>
      <c r="E1437" s="760"/>
      <c r="F1437" s="761"/>
      <c r="G1437" s="762"/>
      <c r="H1437" s="762"/>
      <c r="I1437" s="762"/>
      <c r="J1437" s="762"/>
      <c r="K1437" s="762"/>
      <c r="L1437" s="762"/>
      <c r="M1437" s="762"/>
      <c r="N1437" s="762"/>
      <c r="O1437" s="762"/>
      <c r="P1437" s="762"/>
      <c r="Q1437" s="762"/>
      <c r="R1437" s="763"/>
      <c r="S1437" s="764"/>
      <c r="T1437" s="765"/>
      <c r="U1437" s="766"/>
      <c r="V1437" s="764"/>
      <c r="W1437" s="765"/>
      <c r="X1437" s="766"/>
      <c r="Y1437" s="767"/>
      <c r="Z1437" s="768"/>
      <c r="AA1437" s="768"/>
      <c r="AB1437" s="768"/>
      <c r="AC1437" s="768"/>
      <c r="AD1437" s="769"/>
      <c r="AE1437" s="740"/>
      <c r="AF1437" s="741"/>
      <c r="AG1437" s="757"/>
      <c r="AH1437" s="740"/>
      <c r="AI1437" s="741"/>
      <c r="AJ1437" s="757"/>
      <c r="AK1437" s="737"/>
      <c r="AL1437" s="738"/>
      <c r="AM1437" s="738"/>
      <c r="AN1437" s="739"/>
      <c r="AO1437" s="740">
        <f t="shared" ref="AO1437:AO1443" si="20">ROUND(AE1437*AH1437*AK1437,2)</f>
        <v>0</v>
      </c>
      <c r="AP1437" s="741"/>
      <c r="AQ1437" s="741"/>
      <c r="AR1437" s="742"/>
    </row>
    <row r="1438" spans="3:44" ht="18" customHeight="1">
      <c r="C1438" s="758"/>
      <c r="D1438" s="759"/>
      <c r="E1438" s="760"/>
      <c r="F1438" s="761"/>
      <c r="G1438" s="762"/>
      <c r="H1438" s="762"/>
      <c r="I1438" s="762"/>
      <c r="J1438" s="762"/>
      <c r="K1438" s="762"/>
      <c r="L1438" s="762"/>
      <c r="M1438" s="762"/>
      <c r="N1438" s="762"/>
      <c r="O1438" s="762"/>
      <c r="P1438" s="762"/>
      <c r="Q1438" s="762"/>
      <c r="R1438" s="763"/>
      <c r="S1438" s="764"/>
      <c r="T1438" s="765"/>
      <c r="U1438" s="766"/>
      <c r="V1438" s="764"/>
      <c r="W1438" s="765"/>
      <c r="X1438" s="766"/>
      <c r="Y1438" s="767"/>
      <c r="Z1438" s="768"/>
      <c r="AA1438" s="768"/>
      <c r="AB1438" s="768"/>
      <c r="AC1438" s="768"/>
      <c r="AD1438" s="769"/>
      <c r="AE1438" s="740"/>
      <c r="AF1438" s="741"/>
      <c r="AG1438" s="757"/>
      <c r="AH1438" s="740"/>
      <c r="AI1438" s="741"/>
      <c r="AJ1438" s="757"/>
      <c r="AK1438" s="737"/>
      <c r="AL1438" s="738"/>
      <c r="AM1438" s="738"/>
      <c r="AN1438" s="739"/>
      <c r="AO1438" s="740">
        <f t="shared" si="20"/>
        <v>0</v>
      </c>
      <c r="AP1438" s="741"/>
      <c r="AQ1438" s="741"/>
      <c r="AR1438" s="742"/>
    </row>
    <row r="1439" spans="3:44" ht="18" customHeight="1">
      <c r="C1439" s="758"/>
      <c r="D1439" s="759"/>
      <c r="E1439" s="760"/>
      <c r="F1439" s="761"/>
      <c r="G1439" s="762"/>
      <c r="H1439" s="762"/>
      <c r="I1439" s="762"/>
      <c r="J1439" s="762"/>
      <c r="K1439" s="762"/>
      <c r="L1439" s="762"/>
      <c r="M1439" s="762"/>
      <c r="N1439" s="762"/>
      <c r="O1439" s="762"/>
      <c r="P1439" s="762"/>
      <c r="Q1439" s="762"/>
      <c r="R1439" s="763"/>
      <c r="S1439" s="764"/>
      <c r="T1439" s="765"/>
      <c r="U1439" s="766"/>
      <c r="V1439" s="764"/>
      <c r="W1439" s="765"/>
      <c r="X1439" s="766"/>
      <c r="Y1439" s="767"/>
      <c r="Z1439" s="768"/>
      <c r="AA1439" s="768"/>
      <c r="AB1439" s="768"/>
      <c r="AC1439" s="768"/>
      <c r="AD1439" s="769"/>
      <c r="AE1439" s="740"/>
      <c r="AF1439" s="741"/>
      <c r="AG1439" s="757"/>
      <c r="AH1439" s="740"/>
      <c r="AI1439" s="741"/>
      <c r="AJ1439" s="757"/>
      <c r="AK1439" s="737"/>
      <c r="AL1439" s="738"/>
      <c r="AM1439" s="738"/>
      <c r="AN1439" s="739"/>
      <c r="AO1439" s="740">
        <f t="shared" si="20"/>
        <v>0</v>
      </c>
      <c r="AP1439" s="741"/>
      <c r="AQ1439" s="741"/>
      <c r="AR1439" s="742"/>
    </row>
    <row r="1440" spans="3:44" ht="18" customHeight="1">
      <c r="C1440" s="758"/>
      <c r="D1440" s="759"/>
      <c r="E1440" s="760"/>
      <c r="F1440" s="761"/>
      <c r="G1440" s="762"/>
      <c r="H1440" s="762"/>
      <c r="I1440" s="762"/>
      <c r="J1440" s="762"/>
      <c r="K1440" s="762"/>
      <c r="L1440" s="762"/>
      <c r="M1440" s="762"/>
      <c r="N1440" s="762"/>
      <c r="O1440" s="762"/>
      <c r="P1440" s="762"/>
      <c r="Q1440" s="762"/>
      <c r="R1440" s="763"/>
      <c r="S1440" s="764"/>
      <c r="T1440" s="765"/>
      <c r="U1440" s="766"/>
      <c r="V1440" s="764"/>
      <c r="W1440" s="765"/>
      <c r="X1440" s="766"/>
      <c r="Y1440" s="767"/>
      <c r="Z1440" s="768"/>
      <c r="AA1440" s="768"/>
      <c r="AB1440" s="768"/>
      <c r="AC1440" s="768"/>
      <c r="AD1440" s="769"/>
      <c r="AE1440" s="740"/>
      <c r="AF1440" s="741"/>
      <c r="AG1440" s="757"/>
      <c r="AH1440" s="740"/>
      <c r="AI1440" s="741"/>
      <c r="AJ1440" s="757"/>
      <c r="AK1440" s="737"/>
      <c r="AL1440" s="738"/>
      <c r="AM1440" s="738"/>
      <c r="AN1440" s="739"/>
      <c r="AO1440" s="740">
        <f t="shared" si="20"/>
        <v>0</v>
      </c>
      <c r="AP1440" s="741"/>
      <c r="AQ1440" s="741"/>
      <c r="AR1440" s="742"/>
    </row>
    <row r="1441" spans="1:44" ht="18" customHeight="1">
      <c r="C1441" s="758"/>
      <c r="D1441" s="759"/>
      <c r="E1441" s="760"/>
      <c r="F1441" s="761"/>
      <c r="G1441" s="762"/>
      <c r="H1441" s="762"/>
      <c r="I1441" s="762"/>
      <c r="J1441" s="762"/>
      <c r="K1441" s="762"/>
      <c r="L1441" s="762"/>
      <c r="M1441" s="762"/>
      <c r="N1441" s="762"/>
      <c r="O1441" s="762"/>
      <c r="P1441" s="762"/>
      <c r="Q1441" s="762"/>
      <c r="R1441" s="763"/>
      <c r="S1441" s="764"/>
      <c r="T1441" s="765"/>
      <c r="U1441" s="766"/>
      <c r="V1441" s="764"/>
      <c r="W1441" s="765"/>
      <c r="X1441" s="766"/>
      <c r="Y1441" s="767"/>
      <c r="Z1441" s="768"/>
      <c r="AA1441" s="768"/>
      <c r="AB1441" s="768"/>
      <c r="AC1441" s="768"/>
      <c r="AD1441" s="769"/>
      <c r="AE1441" s="740"/>
      <c r="AF1441" s="741"/>
      <c r="AG1441" s="757"/>
      <c r="AH1441" s="740"/>
      <c r="AI1441" s="741"/>
      <c r="AJ1441" s="757"/>
      <c r="AK1441" s="737"/>
      <c r="AL1441" s="738"/>
      <c r="AM1441" s="738"/>
      <c r="AN1441" s="739"/>
      <c r="AO1441" s="740">
        <f t="shared" si="20"/>
        <v>0</v>
      </c>
      <c r="AP1441" s="741"/>
      <c r="AQ1441" s="741"/>
      <c r="AR1441" s="742"/>
    </row>
    <row r="1442" spans="1:44" ht="18" customHeight="1">
      <c r="C1442" s="758"/>
      <c r="D1442" s="759"/>
      <c r="E1442" s="760"/>
      <c r="F1442" s="761"/>
      <c r="G1442" s="762"/>
      <c r="H1442" s="762"/>
      <c r="I1442" s="762"/>
      <c r="J1442" s="762"/>
      <c r="K1442" s="762"/>
      <c r="L1442" s="762"/>
      <c r="M1442" s="762"/>
      <c r="N1442" s="762"/>
      <c r="O1442" s="762"/>
      <c r="P1442" s="762"/>
      <c r="Q1442" s="762"/>
      <c r="R1442" s="763"/>
      <c r="S1442" s="764"/>
      <c r="T1442" s="765"/>
      <c r="U1442" s="766"/>
      <c r="V1442" s="764"/>
      <c r="W1442" s="765"/>
      <c r="X1442" s="766"/>
      <c r="Y1442" s="767"/>
      <c r="Z1442" s="768"/>
      <c r="AA1442" s="768"/>
      <c r="AB1442" s="768"/>
      <c r="AC1442" s="768"/>
      <c r="AD1442" s="769"/>
      <c r="AE1442" s="740"/>
      <c r="AF1442" s="741"/>
      <c r="AG1442" s="757"/>
      <c r="AH1442" s="740"/>
      <c r="AI1442" s="741"/>
      <c r="AJ1442" s="757"/>
      <c r="AK1442" s="737"/>
      <c r="AL1442" s="738"/>
      <c r="AM1442" s="738"/>
      <c r="AN1442" s="739"/>
      <c r="AO1442" s="740">
        <f t="shared" si="20"/>
        <v>0</v>
      </c>
      <c r="AP1442" s="741"/>
      <c r="AQ1442" s="741"/>
      <c r="AR1442" s="742"/>
    </row>
    <row r="1443" spans="1:44" ht="18" customHeight="1">
      <c r="C1443" s="758"/>
      <c r="D1443" s="759"/>
      <c r="E1443" s="760"/>
      <c r="F1443" s="761"/>
      <c r="G1443" s="762"/>
      <c r="H1443" s="762"/>
      <c r="I1443" s="762"/>
      <c r="J1443" s="762"/>
      <c r="K1443" s="762"/>
      <c r="L1443" s="762"/>
      <c r="M1443" s="762"/>
      <c r="N1443" s="762"/>
      <c r="O1443" s="762"/>
      <c r="P1443" s="762"/>
      <c r="Q1443" s="762"/>
      <c r="R1443" s="763"/>
      <c r="S1443" s="764"/>
      <c r="T1443" s="765"/>
      <c r="U1443" s="766"/>
      <c r="V1443" s="764"/>
      <c r="W1443" s="765"/>
      <c r="X1443" s="766"/>
      <c r="Y1443" s="767"/>
      <c r="Z1443" s="768"/>
      <c r="AA1443" s="768"/>
      <c r="AB1443" s="768"/>
      <c r="AC1443" s="768"/>
      <c r="AD1443" s="769"/>
      <c r="AE1443" s="740"/>
      <c r="AF1443" s="741"/>
      <c r="AG1443" s="757"/>
      <c r="AH1443" s="740"/>
      <c r="AI1443" s="741"/>
      <c r="AJ1443" s="757"/>
      <c r="AK1443" s="737"/>
      <c r="AL1443" s="738"/>
      <c r="AM1443" s="738"/>
      <c r="AN1443" s="739"/>
      <c r="AO1443" s="740">
        <f t="shared" si="20"/>
        <v>0</v>
      </c>
      <c r="AP1443" s="741"/>
      <c r="AQ1443" s="741"/>
      <c r="AR1443" s="742"/>
    </row>
    <row r="1444" spans="1:44" ht="18" customHeight="1">
      <c r="C1444" s="743"/>
      <c r="D1444" s="744"/>
      <c r="E1444" s="744"/>
      <c r="F1444" s="744"/>
      <c r="G1444" s="744"/>
      <c r="H1444" s="744"/>
      <c r="I1444" s="744"/>
      <c r="J1444" s="744"/>
      <c r="K1444" s="744"/>
      <c r="L1444" s="744"/>
      <c r="M1444" s="744"/>
      <c r="N1444" s="744"/>
      <c r="O1444" s="744"/>
      <c r="P1444" s="744"/>
      <c r="Q1444" s="744"/>
      <c r="R1444" s="744"/>
      <c r="S1444" s="744"/>
      <c r="T1444" s="744"/>
      <c r="U1444" s="744"/>
      <c r="V1444" s="744"/>
      <c r="W1444" s="744"/>
      <c r="X1444" s="744"/>
      <c r="Y1444" s="745" t="s">
        <v>95</v>
      </c>
      <c r="Z1444" s="745"/>
      <c r="AA1444" s="745"/>
      <c r="AB1444" s="745"/>
      <c r="AC1444" s="745"/>
      <c r="AD1444" s="745"/>
      <c r="AE1444" s="745"/>
      <c r="AF1444" s="745"/>
      <c r="AG1444" s="745"/>
      <c r="AH1444" s="745"/>
      <c r="AI1444" s="745"/>
      <c r="AJ1444" s="745"/>
      <c r="AK1444" s="745"/>
      <c r="AL1444" s="745"/>
      <c r="AM1444" s="745"/>
      <c r="AN1444" s="430"/>
      <c r="AO1444" s="477">
        <f>SUM(AO1436:AR1443)</f>
        <v>0</v>
      </c>
      <c r="AP1444" s="746"/>
      <c r="AQ1444" s="746"/>
      <c r="AR1444" s="747"/>
    </row>
    <row r="1446" spans="1:44" ht="18" customHeight="1">
      <c r="C1446" s="434"/>
      <c r="D1446" s="434"/>
      <c r="E1446" s="434"/>
      <c r="F1446" s="434"/>
      <c r="G1446" s="434"/>
      <c r="H1446" s="434"/>
      <c r="I1446" s="434"/>
      <c r="J1446" s="434"/>
      <c r="K1446" s="434"/>
      <c r="L1446" s="434"/>
      <c r="M1446" s="434"/>
      <c r="N1446" s="434"/>
      <c r="O1446" s="434"/>
      <c r="P1446" s="434"/>
      <c r="Q1446" s="434"/>
      <c r="R1446" s="434"/>
      <c r="S1446" s="434"/>
      <c r="T1446" s="434"/>
      <c r="U1446" s="434"/>
      <c r="V1446" s="434"/>
      <c r="W1446" s="434"/>
      <c r="X1446" s="748"/>
      <c r="Y1446" s="749" t="s">
        <v>96</v>
      </c>
      <c r="Z1446" s="750"/>
      <c r="AA1446" s="750"/>
      <c r="AB1446" s="750"/>
      <c r="AC1446" s="750"/>
      <c r="AD1446" s="750"/>
      <c r="AE1446" s="750"/>
      <c r="AF1446" s="750"/>
      <c r="AG1446" s="750"/>
      <c r="AH1446" s="750"/>
      <c r="AI1446" s="750"/>
      <c r="AJ1446" s="750"/>
      <c r="AK1446" s="750"/>
      <c r="AL1446" s="750"/>
      <c r="AM1446" s="750"/>
      <c r="AN1446" s="751"/>
      <c r="AO1446" s="752">
        <f>AO1420+AO1432+AO1444</f>
        <v>550.14</v>
      </c>
      <c r="AP1446" s="753"/>
      <c r="AQ1446" s="753"/>
      <c r="AR1446" s="754"/>
    </row>
    <row r="1447" spans="1:44" ht="18" customHeight="1">
      <c r="C1447" s="434"/>
      <c r="D1447" s="434"/>
      <c r="E1447" s="434"/>
      <c r="F1447" s="434"/>
      <c r="G1447" s="434"/>
      <c r="H1447" s="434"/>
      <c r="I1447" s="434"/>
      <c r="J1447" s="434"/>
      <c r="K1447" s="434"/>
      <c r="L1447" s="434"/>
      <c r="M1447" s="434"/>
      <c r="N1447" s="434"/>
      <c r="O1447" s="434"/>
      <c r="P1447" s="434"/>
      <c r="Q1447" s="434"/>
      <c r="R1447" s="434"/>
      <c r="S1447" s="434"/>
      <c r="T1447" s="434"/>
      <c r="U1447" s="434"/>
      <c r="V1447" s="434"/>
      <c r="W1447" s="434"/>
      <c r="X1447" s="748"/>
      <c r="Y1447" s="755" t="s">
        <v>97</v>
      </c>
      <c r="Z1447" s="756"/>
      <c r="AA1447" s="756"/>
      <c r="AB1447" s="756"/>
      <c r="AC1447" s="756"/>
      <c r="AD1447" s="756"/>
      <c r="AE1447" s="756"/>
      <c r="AF1447" s="756"/>
      <c r="AG1447" s="756"/>
      <c r="AH1447" s="442">
        <v>0.2031</v>
      </c>
      <c r="AI1447" s="442"/>
      <c r="AJ1447" s="442"/>
      <c r="AK1447" s="442"/>
      <c r="AL1447" s="442"/>
      <c r="AM1447" s="442"/>
      <c r="AN1447" s="443"/>
      <c r="AO1447" s="728">
        <f>ROUND(AO1446*AH1447,2)</f>
        <v>111.73</v>
      </c>
      <c r="AP1447" s="729"/>
      <c r="AQ1447" s="729"/>
      <c r="AR1447" s="730"/>
    </row>
    <row r="1448" spans="1:44" ht="18" customHeight="1">
      <c r="A1448" s="415" t="s">
        <v>1586</v>
      </c>
      <c r="B1448" s="415"/>
      <c r="C1448" s="434"/>
      <c r="D1448" s="434"/>
      <c r="E1448" s="434"/>
      <c r="F1448" s="434"/>
      <c r="G1448" s="434"/>
      <c r="H1448" s="434"/>
      <c r="I1448" s="434"/>
      <c r="J1448" s="434"/>
      <c r="K1448" s="434"/>
      <c r="L1448" s="434"/>
      <c r="M1448" s="434"/>
      <c r="N1448" s="434"/>
      <c r="O1448" s="434"/>
      <c r="P1448" s="434"/>
      <c r="Q1448" s="434"/>
      <c r="R1448" s="434"/>
      <c r="S1448" s="434"/>
      <c r="T1448" s="434"/>
      <c r="U1448" s="434"/>
      <c r="V1448" s="434"/>
      <c r="W1448" s="434"/>
      <c r="X1448" s="748"/>
      <c r="Y1448" s="731" t="s">
        <v>98</v>
      </c>
      <c r="Z1448" s="732"/>
      <c r="AA1448" s="732"/>
      <c r="AB1448" s="732"/>
      <c r="AC1448" s="732"/>
      <c r="AD1448" s="732"/>
      <c r="AE1448" s="732"/>
      <c r="AF1448" s="732"/>
      <c r="AG1448" s="732"/>
      <c r="AH1448" s="732"/>
      <c r="AI1448" s="732"/>
      <c r="AJ1448" s="732"/>
      <c r="AK1448" s="732"/>
      <c r="AL1448" s="732"/>
      <c r="AM1448" s="732"/>
      <c r="AN1448" s="733"/>
      <c r="AO1448" s="734">
        <f>SUM(AO1446:AR1447)</f>
        <v>661.87</v>
      </c>
      <c r="AP1448" s="735"/>
      <c r="AQ1448" s="735"/>
      <c r="AR1448" s="736"/>
    </row>
    <row r="1450" spans="1:44" ht="18" customHeight="1">
      <c r="C1450" s="420" t="s">
        <v>99</v>
      </c>
      <c r="D1450" s="421"/>
      <c r="E1450" s="421"/>
      <c r="F1450" s="421"/>
      <c r="G1450" s="421"/>
      <c r="H1450" s="421"/>
      <c r="I1450" s="422"/>
      <c r="J1450" s="422"/>
      <c r="K1450" s="422"/>
      <c r="L1450" s="422"/>
      <c r="M1450" s="422"/>
      <c r="N1450" s="422"/>
      <c r="O1450" s="422"/>
      <c r="P1450" s="422"/>
      <c r="Q1450" s="422"/>
      <c r="R1450" s="422"/>
      <c r="S1450" s="422"/>
      <c r="T1450" s="422"/>
      <c r="U1450" s="422"/>
      <c r="V1450" s="422"/>
      <c r="W1450" s="422"/>
      <c r="X1450" s="422"/>
      <c r="Y1450" s="422"/>
      <c r="Z1450" s="422"/>
      <c r="AA1450" s="422"/>
      <c r="AB1450" s="422"/>
      <c r="AC1450" s="422"/>
      <c r="AD1450" s="422"/>
      <c r="AE1450" s="422"/>
      <c r="AF1450" s="422"/>
      <c r="AG1450" s="422"/>
      <c r="AH1450" s="422"/>
      <c r="AI1450" s="422"/>
      <c r="AJ1450" s="422"/>
      <c r="AK1450" s="422"/>
      <c r="AL1450" s="422"/>
      <c r="AM1450" s="422"/>
      <c r="AN1450" s="422"/>
      <c r="AO1450" s="422"/>
      <c r="AP1450" s="422"/>
      <c r="AQ1450" s="422"/>
      <c r="AR1450" s="423"/>
    </row>
    <row r="1451" spans="1:44" ht="18" customHeight="1">
      <c r="C1451" s="411"/>
      <c r="D1451" s="412"/>
      <c r="E1451" s="412"/>
      <c r="F1451" s="412"/>
      <c r="G1451" s="412"/>
      <c r="H1451" s="412"/>
      <c r="I1451" s="409"/>
      <c r="J1451" s="409"/>
      <c r="K1451" s="409"/>
      <c r="L1451" s="409"/>
      <c r="M1451" s="409"/>
      <c r="N1451" s="409"/>
      <c r="O1451" s="409"/>
      <c r="P1451" s="409"/>
      <c r="Q1451" s="409"/>
      <c r="R1451" s="409"/>
      <c r="S1451" s="409"/>
      <c r="T1451" s="409"/>
      <c r="U1451" s="409"/>
      <c r="V1451" s="409"/>
      <c r="W1451" s="409"/>
      <c r="X1451" s="409"/>
      <c r="Y1451" s="409"/>
      <c r="Z1451" s="409"/>
      <c r="AA1451" s="409"/>
      <c r="AB1451" s="409"/>
      <c r="AC1451" s="409"/>
      <c r="AD1451" s="409"/>
      <c r="AE1451" s="409"/>
      <c r="AF1451" s="409"/>
      <c r="AG1451" s="409"/>
      <c r="AH1451" s="409"/>
      <c r="AI1451" s="409"/>
      <c r="AJ1451" s="409"/>
      <c r="AK1451" s="409"/>
      <c r="AL1451" s="409"/>
      <c r="AM1451" s="409"/>
      <c r="AN1451" s="409"/>
      <c r="AO1451" s="409"/>
      <c r="AP1451" s="409"/>
      <c r="AQ1451" s="409"/>
      <c r="AR1451" s="410"/>
    </row>
    <row r="1452" spans="1:44" ht="18" customHeight="1">
      <c r="C1452" s="411"/>
      <c r="D1452" s="412"/>
      <c r="E1452" s="412"/>
      <c r="F1452" s="412"/>
      <c r="G1452" s="412"/>
      <c r="H1452" s="412"/>
      <c r="I1452" s="409"/>
      <c r="J1452" s="409"/>
      <c r="K1452" s="409"/>
      <c r="L1452" s="409"/>
      <c r="M1452" s="409"/>
      <c r="N1452" s="409"/>
      <c r="O1452" s="409"/>
      <c r="P1452" s="409"/>
      <c r="Q1452" s="409"/>
      <c r="R1452" s="409"/>
      <c r="S1452" s="409"/>
      <c r="T1452" s="409"/>
      <c r="U1452" s="409"/>
      <c r="V1452" s="409"/>
      <c r="W1452" s="409"/>
      <c r="X1452" s="409"/>
      <c r="Y1452" s="409"/>
      <c r="Z1452" s="409"/>
      <c r="AA1452" s="409"/>
      <c r="AB1452" s="409"/>
      <c r="AC1452" s="409"/>
      <c r="AD1452" s="409"/>
      <c r="AE1452" s="409"/>
      <c r="AF1452" s="409"/>
      <c r="AG1452" s="409"/>
      <c r="AH1452" s="409"/>
      <c r="AI1452" s="409"/>
      <c r="AJ1452" s="409"/>
      <c r="AK1452" s="409"/>
      <c r="AL1452" s="409"/>
      <c r="AM1452" s="409"/>
      <c r="AN1452" s="409"/>
      <c r="AO1452" s="409"/>
      <c r="AP1452" s="409"/>
      <c r="AQ1452" s="409"/>
      <c r="AR1452" s="410"/>
    </row>
    <row r="1453" spans="1:44" ht="18" customHeight="1">
      <c r="C1453" s="411"/>
      <c r="D1453" s="412"/>
      <c r="E1453" s="412"/>
      <c r="F1453" s="412"/>
      <c r="G1453" s="412"/>
      <c r="H1453" s="412"/>
      <c r="I1453" s="409"/>
      <c r="J1453" s="409"/>
      <c r="K1453" s="409"/>
      <c r="L1453" s="409"/>
      <c r="M1453" s="409"/>
      <c r="N1453" s="409"/>
      <c r="O1453" s="409"/>
      <c r="P1453" s="409"/>
      <c r="Q1453" s="409"/>
      <c r="R1453" s="409"/>
      <c r="S1453" s="409"/>
      <c r="T1453" s="409"/>
      <c r="U1453" s="409"/>
      <c r="V1453" s="409"/>
      <c r="W1453" s="409"/>
      <c r="X1453" s="409"/>
      <c r="Y1453" s="409"/>
      <c r="Z1453" s="409"/>
      <c r="AA1453" s="409"/>
      <c r="AB1453" s="409"/>
      <c r="AC1453" s="409"/>
      <c r="AD1453" s="409"/>
      <c r="AE1453" s="409"/>
      <c r="AF1453" s="409"/>
      <c r="AG1453" s="409"/>
      <c r="AH1453" s="409"/>
      <c r="AI1453" s="409"/>
      <c r="AJ1453" s="409"/>
      <c r="AK1453" s="409"/>
      <c r="AL1453" s="409"/>
      <c r="AM1453" s="409"/>
      <c r="AN1453" s="409"/>
      <c r="AO1453" s="409"/>
      <c r="AP1453" s="409"/>
      <c r="AQ1453" s="409"/>
      <c r="AR1453" s="410"/>
    </row>
    <row r="1454" spans="1:44" ht="18" customHeight="1">
      <c r="C1454" s="411"/>
      <c r="D1454" s="412"/>
      <c r="E1454" s="412"/>
      <c r="F1454" s="412"/>
      <c r="G1454" s="412"/>
      <c r="H1454" s="412"/>
      <c r="I1454" s="409"/>
      <c r="J1454" s="409"/>
      <c r="K1454" s="409"/>
      <c r="L1454" s="409"/>
      <c r="M1454" s="409"/>
      <c r="N1454" s="409"/>
      <c r="O1454" s="409"/>
      <c r="P1454" s="409"/>
      <c r="Q1454" s="409"/>
      <c r="R1454" s="409"/>
      <c r="S1454" s="409"/>
      <c r="T1454" s="409"/>
      <c r="U1454" s="409"/>
      <c r="V1454" s="409"/>
      <c r="W1454" s="409"/>
      <c r="X1454" s="409"/>
      <c r="Y1454" s="409"/>
      <c r="Z1454" s="409"/>
      <c r="AA1454" s="409"/>
      <c r="AB1454" s="409"/>
      <c r="AC1454" s="409"/>
      <c r="AD1454" s="409"/>
      <c r="AE1454" s="409"/>
      <c r="AF1454" s="409"/>
      <c r="AG1454" s="409"/>
      <c r="AH1454" s="409"/>
      <c r="AI1454" s="409"/>
      <c r="AJ1454" s="409"/>
      <c r="AK1454" s="409"/>
      <c r="AL1454" s="409"/>
      <c r="AM1454" s="409"/>
      <c r="AN1454" s="409"/>
      <c r="AO1454" s="409"/>
      <c r="AP1454" s="409"/>
      <c r="AQ1454" s="409"/>
      <c r="AR1454" s="410"/>
    </row>
    <row r="1455" spans="1:44" ht="18" customHeight="1">
      <c r="C1455" s="385"/>
      <c r="D1455" s="386"/>
      <c r="E1455" s="386"/>
      <c r="F1455" s="386"/>
      <c r="G1455" s="386"/>
      <c r="H1455" s="386"/>
      <c r="I1455" s="387"/>
      <c r="J1455" s="387"/>
      <c r="K1455" s="387"/>
      <c r="L1455" s="387"/>
      <c r="M1455" s="387"/>
      <c r="N1455" s="387"/>
      <c r="O1455" s="387"/>
      <c r="P1455" s="387"/>
      <c r="Q1455" s="387"/>
      <c r="R1455" s="387"/>
      <c r="S1455" s="387"/>
      <c r="T1455" s="387"/>
      <c r="U1455" s="387"/>
      <c r="V1455" s="387"/>
      <c r="W1455" s="387"/>
      <c r="X1455" s="387"/>
      <c r="Y1455" s="387"/>
      <c r="Z1455" s="387"/>
      <c r="AA1455" s="387"/>
      <c r="AB1455" s="387"/>
      <c r="AC1455" s="387"/>
      <c r="AD1455" s="387"/>
      <c r="AE1455" s="387"/>
      <c r="AF1455" s="387"/>
      <c r="AG1455" s="387"/>
      <c r="AH1455" s="387"/>
      <c r="AI1455" s="387"/>
      <c r="AJ1455" s="387"/>
      <c r="AK1455" s="387"/>
      <c r="AL1455" s="387"/>
      <c r="AM1455" s="387"/>
      <c r="AN1455" s="387"/>
      <c r="AO1455" s="387"/>
      <c r="AP1455" s="387"/>
      <c r="AQ1455" s="387"/>
      <c r="AR1455" s="388"/>
    </row>
    <row r="1457" spans="3:44" ht="18" customHeight="1">
      <c r="C1457" s="389" t="s">
        <v>100</v>
      </c>
      <c r="D1457" s="390"/>
      <c r="E1457" s="390"/>
      <c r="F1457" s="390"/>
      <c r="G1457" s="390"/>
      <c r="H1457" s="390"/>
      <c r="I1457" s="390"/>
      <c r="J1457" s="390"/>
      <c r="K1457" s="390"/>
      <c r="L1457" s="390"/>
      <c r="M1457" s="390"/>
      <c r="N1457" s="390"/>
      <c r="O1457" s="390"/>
      <c r="P1457" s="390"/>
      <c r="Q1457" s="390"/>
      <c r="R1457" s="390"/>
      <c r="S1457" s="390"/>
      <c r="T1457" s="390"/>
      <c r="U1457" s="390"/>
      <c r="V1457" s="390"/>
      <c r="W1457" s="390"/>
      <c r="X1457" s="390"/>
      <c r="Y1457" s="390"/>
      <c r="Z1457" s="390"/>
      <c r="AA1457" s="391"/>
      <c r="AB1457" s="392" t="str">
        <f>[5]C.UNIT.SERV.!$E$5</f>
        <v>DATA-BASE:      MAIO/2011/PR</v>
      </c>
      <c r="AC1457" s="393"/>
      <c r="AD1457" s="393"/>
      <c r="AE1457" s="393"/>
      <c r="AF1457" s="393"/>
      <c r="AG1457" s="393"/>
      <c r="AH1457" s="393"/>
      <c r="AI1457" s="394"/>
      <c r="AJ1457" s="392"/>
      <c r="AK1457" s="393"/>
      <c r="AL1457" s="393"/>
      <c r="AM1457" s="393"/>
      <c r="AN1457" s="393"/>
      <c r="AO1457" s="393"/>
      <c r="AP1457" s="393"/>
      <c r="AQ1457" s="393"/>
      <c r="AR1457" s="401"/>
    </row>
    <row r="1458" spans="3:44" ht="18" customHeight="1">
      <c r="C1458" s="404" t="s">
        <v>101</v>
      </c>
      <c r="D1458" s="405"/>
      <c r="E1458" s="405"/>
      <c r="F1458" s="405"/>
      <c r="G1458" s="405" t="s">
        <v>283</v>
      </c>
      <c r="H1458" s="405"/>
      <c r="I1458" s="405"/>
      <c r="J1458" s="405"/>
      <c r="K1458" s="405"/>
      <c r="L1458" s="405"/>
      <c r="M1458" s="405"/>
      <c r="N1458" s="405"/>
      <c r="O1458" s="405"/>
      <c r="P1458" s="405"/>
      <c r="Q1458" s="405"/>
      <c r="R1458" s="405"/>
      <c r="S1458" s="405"/>
      <c r="T1458" s="405"/>
      <c r="U1458" s="405"/>
      <c r="V1458" s="405"/>
      <c r="W1458" s="405"/>
      <c r="X1458" s="405"/>
      <c r="Y1458" s="405"/>
      <c r="Z1458" s="405"/>
      <c r="AA1458" s="406"/>
      <c r="AB1458" s="395"/>
      <c r="AC1458" s="396"/>
      <c r="AD1458" s="396"/>
      <c r="AE1458" s="396"/>
      <c r="AF1458" s="396"/>
      <c r="AG1458" s="396"/>
      <c r="AH1458" s="396"/>
      <c r="AI1458" s="397"/>
      <c r="AJ1458" s="395"/>
      <c r="AK1458" s="396"/>
      <c r="AL1458" s="396"/>
      <c r="AM1458" s="396"/>
      <c r="AN1458" s="396"/>
      <c r="AO1458" s="396"/>
      <c r="AP1458" s="396"/>
      <c r="AQ1458" s="396"/>
      <c r="AR1458" s="402"/>
    </row>
    <row r="1459" spans="3:44" ht="18" customHeight="1">
      <c r="C1459" s="404" t="s">
        <v>102</v>
      </c>
      <c r="D1459" s="405"/>
      <c r="E1459" s="405"/>
      <c r="F1459" s="405"/>
      <c r="G1459" s="405"/>
      <c r="H1459" s="405"/>
      <c r="I1459" s="405"/>
      <c r="J1459" s="405"/>
      <c r="K1459" s="405"/>
      <c r="L1459" s="405"/>
      <c r="M1459" s="405"/>
      <c r="N1459" s="405"/>
      <c r="O1459" s="405"/>
      <c r="P1459" s="405"/>
      <c r="Q1459" s="405"/>
      <c r="R1459" s="405"/>
      <c r="S1459" s="405"/>
      <c r="T1459" s="405"/>
      <c r="U1459" s="405"/>
      <c r="V1459" s="405"/>
      <c r="W1459" s="405"/>
      <c r="X1459" s="405"/>
      <c r="Y1459" s="405"/>
      <c r="Z1459" s="405"/>
      <c r="AA1459" s="406"/>
      <c r="AB1459" s="395"/>
      <c r="AC1459" s="396"/>
      <c r="AD1459" s="396"/>
      <c r="AE1459" s="396"/>
      <c r="AF1459" s="396"/>
      <c r="AG1459" s="396"/>
      <c r="AH1459" s="396"/>
      <c r="AI1459" s="397"/>
      <c r="AJ1459" s="395"/>
      <c r="AK1459" s="396"/>
      <c r="AL1459" s="396"/>
      <c r="AM1459" s="396"/>
      <c r="AN1459" s="396"/>
      <c r="AO1459" s="396"/>
      <c r="AP1459" s="396"/>
      <c r="AQ1459" s="396"/>
      <c r="AR1459" s="402"/>
    </row>
    <row r="1460" spans="3:44" ht="18" customHeight="1">
      <c r="C1460" s="407"/>
      <c r="D1460" s="408"/>
      <c r="E1460" s="408"/>
      <c r="F1460" s="408"/>
      <c r="G1460" s="408"/>
      <c r="H1460" s="408"/>
      <c r="I1460" s="408"/>
      <c r="J1460" s="408"/>
      <c r="K1460" s="408"/>
      <c r="L1460" s="408"/>
      <c r="M1460" s="408"/>
      <c r="N1460" s="408"/>
      <c r="O1460" s="408"/>
      <c r="P1460" s="408"/>
      <c r="Q1460" s="408"/>
      <c r="R1460" s="408"/>
      <c r="S1460" s="408"/>
      <c r="T1460" s="408"/>
      <c r="U1460" s="408"/>
      <c r="V1460" s="408"/>
      <c r="W1460" s="408"/>
      <c r="X1460" s="408"/>
      <c r="Y1460" s="408"/>
      <c r="Z1460" s="408"/>
      <c r="AA1460" s="408"/>
      <c r="AB1460" s="398"/>
      <c r="AC1460" s="399"/>
      <c r="AD1460" s="399"/>
      <c r="AE1460" s="399"/>
      <c r="AF1460" s="399"/>
      <c r="AG1460" s="399"/>
      <c r="AH1460" s="399"/>
      <c r="AI1460" s="400"/>
      <c r="AJ1460" s="398"/>
      <c r="AK1460" s="399"/>
      <c r="AL1460" s="399"/>
      <c r="AM1460" s="399"/>
      <c r="AN1460" s="399"/>
      <c r="AO1460" s="399"/>
      <c r="AP1460" s="399"/>
      <c r="AQ1460" s="399"/>
      <c r="AR1460" s="403"/>
    </row>
  </sheetData>
  <mergeCells count="6860">
    <mergeCell ref="C1095:AA1095"/>
    <mergeCell ref="AC1088:AR1088"/>
    <mergeCell ref="C1089:H1089"/>
    <mergeCell ref="I1089:J1089"/>
    <mergeCell ref="K1089:Z1089"/>
    <mergeCell ref="AA1089:AB1089"/>
    <mergeCell ref="AC1089:AR1089"/>
    <mergeCell ref="C1090:H1090"/>
    <mergeCell ref="I1090:J1090"/>
    <mergeCell ref="K1090:Z1090"/>
    <mergeCell ref="AA1090:AB1090"/>
    <mergeCell ref="AC1090:AR1090"/>
    <mergeCell ref="C1092:F1092"/>
    <mergeCell ref="G1092:AA1092"/>
    <mergeCell ref="AB1092:AI1095"/>
    <mergeCell ref="AJ1092:AR1095"/>
    <mergeCell ref="C1093:F1093"/>
    <mergeCell ref="AC1086:AR1086"/>
    <mergeCell ref="C1087:H1087"/>
    <mergeCell ref="I1087:J1087"/>
    <mergeCell ref="K1087:Z1087"/>
    <mergeCell ref="AA1087:AB1087"/>
    <mergeCell ref="AC1087:AR1087"/>
    <mergeCell ref="C1088:H1088"/>
    <mergeCell ref="I1088:J1088"/>
    <mergeCell ref="K1088:Z1088"/>
    <mergeCell ref="AA1088:AB1088"/>
    <mergeCell ref="C1086:H1086"/>
    <mergeCell ref="I1086:J1086"/>
    <mergeCell ref="K1086:Z1086"/>
    <mergeCell ref="AA1086:AB1086"/>
    <mergeCell ref="G1093:AA1093"/>
    <mergeCell ref="C1094:F1094"/>
    <mergeCell ref="G1094:AA1094"/>
    <mergeCell ref="C1079:X1079"/>
    <mergeCell ref="Y1079:AN1079"/>
    <mergeCell ref="AO1079:AR1079"/>
    <mergeCell ref="C1081:X1083"/>
    <mergeCell ref="Y1081:AN1081"/>
    <mergeCell ref="AO1081:AR1081"/>
    <mergeCell ref="Y1082:AG1082"/>
    <mergeCell ref="AH1082:AN1082"/>
    <mergeCell ref="AO1082:AR1082"/>
    <mergeCell ref="A1083:B1083"/>
    <mergeCell ref="Y1083:AN1083"/>
    <mergeCell ref="AO1083:AR1083"/>
    <mergeCell ref="C1085:H1085"/>
    <mergeCell ref="I1085:J1085"/>
    <mergeCell ref="K1085:Z1085"/>
    <mergeCell ref="AA1085:AB1085"/>
    <mergeCell ref="AC1085:AR1085"/>
    <mergeCell ref="C1077:E1077"/>
    <mergeCell ref="F1077:R1077"/>
    <mergeCell ref="S1077:U1077"/>
    <mergeCell ref="V1077:X1077"/>
    <mergeCell ref="Y1077:AD1077"/>
    <mergeCell ref="AE1077:AG1077"/>
    <mergeCell ref="AH1077:AJ1077"/>
    <mergeCell ref="AK1077:AN1077"/>
    <mergeCell ref="AO1077:AR1077"/>
    <mergeCell ref="C1078:E1078"/>
    <mergeCell ref="F1078:R1078"/>
    <mergeCell ref="S1078:U1078"/>
    <mergeCell ref="V1078:X1078"/>
    <mergeCell ref="Y1078:AD1078"/>
    <mergeCell ref="AE1078:AG1078"/>
    <mergeCell ref="AH1078:AJ1078"/>
    <mergeCell ref="AK1078:AN1078"/>
    <mergeCell ref="AO1078:AR1078"/>
    <mergeCell ref="C1075:E1075"/>
    <mergeCell ref="F1075:R1075"/>
    <mergeCell ref="S1075:U1075"/>
    <mergeCell ref="V1075:X1075"/>
    <mergeCell ref="Y1075:AD1075"/>
    <mergeCell ref="AE1075:AG1075"/>
    <mergeCell ref="AH1075:AJ1075"/>
    <mergeCell ref="AK1075:AN1075"/>
    <mergeCell ref="AO1075:AR1075"/>
    <mergeCell ref="C1076:E1076"/>
    <mergeCell ref="F1076:R1076"/>
    <mergeCell ref="S1076:U1076"/>
    <mergeCell ref="V1076:X1076"/>
    <mergeCell ref="Y1076:AD1076"/>
    <mergeCell ref="AE1076:AG1076"/>
    <mergeCell ref="AH1076:AJ1076"/>
    <mergeCell ref="AK1076:AN1076"/>
    <mergeCell ref="AO1076:AR1076"/>
    <mergeCell ref="C1073:E1073"/>
    <mergeCell ref="F1073:R1073"/>
    <mergeCell ref="S1073:U1073"/>
    <mergeCell ref="V1073:X1073"/>
    <mergeCell ref="Y1073:AD1073"/>
    <mergeCell ref="AE1073:AG1073"/>
    <mergeCell ref="AH1073:AJ1073"/>
    <mergeCell ref="AK1073:AN1073"/>
    <mergeCell ref="AO1073:AR1073"/>
    <mergeCell ref="C1074:E1074"/>
    <mergeCell ref="F1074:R1074"/>
    <mergeCell ref="S1074:U1074"/>
    <mergeCell ref="V1074:X1074"/>
    <mergeCell ref="Y1074:AD1074"/>
    <mergeCell ref="AE1074:AG1074"/>
    <mergeCell ref="AH1074:AJ1074"/>
    <mergeCell ref="AK1074:AN1074"/>
    <mergeCell ref="AO1074:AR1074"/>
    <mergeCell ref="C1071:E1071"/>
    <mergeCell ref="F1071:R1071"/>
    <mergeCell ref="S1071:U1071"/>
    <mergeCell ref="V1071:X1071"/>
    <mergeCell ref="Y1071:AD1071"/>
    <mergeCell ref="AE1071:AG1071"/>
    <mergeCell ref="AH1071:AJ1071"/>
    <mergeCell ref="AK1071:AN1071"/>
    <mergeCell ref="AO1071:AR1071"/>
    <mergeCell ref="C1072:E1072"/>
    <mergeCell ref="F1072:R1072"/>
    <mergeCell ref="S1072:U1072"/>
    <mergeCell ref="V1072:X1072"/>
    <mergeCell ref="Y1072:AD1072"/>
    <mergeCell ref="AE1072:AG1072"/>
    <mergeCell ref="AH1072:AJ1072"/>
    <mergeCell ref="AK1072:AN1072"/>
    <mergeCell ref="AO1072:AR1072"/>
    <mergeCell ref="C1065:E1065"/>
    <mergeCell ref="F1065:AB1065"/>
    <mergeCell ref="AC1065:AF1065"/>
    <mergeCell ref="AG1065:AJ1065"/>
    <mergeCell ref="AK1065:AN1065"/>
    <mergeCell ref="AO1065:AR1065"/>
    <mergeCell ref="C1066:E1066"/>
    <mergeCell ref="F1066:AB1066"/>
    <mergeCell ref="AC1066:AF1066"/>
    <mergeCell ref="AG1066:AJ1066"/>
    <mergeCell ref="AK1066:AN1066"/>
    <mergeCell ref="AO1066:AR1066"/>
    <mergeCell ref="C1067:X1067"/>
    <mergeCell ref="Y1067:AN1067"/>
    <mergeCell ref="AO1067:AR1067"/>
    <mergeCell ref="C1069:E1070"/>
    <mergeCell ref="F1069:R1070"/>
    <mergeCell ref="S1069:U1070"/>
    <mergeCell ref="V1069:X1070"/>
    <mergeCell ref="Y1069:AD1070"/>
    <mergeCell ref="AE1069:AG1070"/>
    <mergeCell ref="AH1069:AJ1070"/>
    <mergeCell ref="AK1069:AN1070"/>
    <mergeCell ref="AO1069:AR1070"/>
    <mergeCell ref="C1062:E1062"/>
    <mergeCell ref="F1062:AB1062"/>
    <mergeCell ref="AC1062:AF1062"/>
    <mergeCell ref="AG1062:AJ1062"/>
    <mergeCell ref="AK1062:AN1062"/>
    <mergeCell ref="AO1062:AR1062"/>
    <mergeCell ref="C1063:E1063"/>
    <mergeCell ref="F1063:AB1063"/>
    <mergeCell ref="AC1063:AF1063"/>
    <mergeCell ref="AG1063:AJ1063"/>
    <mergeCell ref="AK1063:AN1063"/>
    <mergeCell ref="AO1063:AR1063"/>
    <mergeCell ref="C1064:E1064"/>
    <mergeCell ref="F1064:AB1064"/>
    <mergeCell ref="AC1064:AF1064"/>
    <mergeCell ref="AG1064:AJ1064"/>
    <mergeCell ref="AK1064:AN1064"/>
    <mergeCell ref="AO1064:AR1064"/>
    <mergeCell ref="C1059:E1059"/>
    <mergeCell ref="F1059:AB1059"/>
    <mergeCell ref="AC1059:AF1059"/>
    <mergeCell ref="AG1059:AJ1059"/>
    <mergeCell ref="AK1059:AN1059"/>
    <mergeCell ref="AO1059:AR1059"/>
    <mergeCell ref="C1060:E1060"/>
    <mergeCell ref="F1060:AB1060"/>
    <mergeCell ref="AC1060:AF1060"/>
    <mergeCell ref="AG1060:AJ1060"/>
    <mergeCell ref="AK1060:AN1060"/>
    <mergeCell ref="AO1060:AR1060"/>
    <mergeCell ref="C1061:E1061"/>
    <mergeCell ref="F1061:AB1061"/>
    <mergeCell ref="AC1061:AF1061"/>
    <mergeCell ref="AG1061:AJ1061"/>
    <mergeCell ref="AK1061:AN1061"/>
    <mergeCell ref="AO1061:AR1061"/>
    <mergeCell ref="C1052:X1052"/>
    <mergeCell ref="Y1052:AN1052"/>
    <mergeCell ref="AO1052:AR1052"/>
    <mergeCell ref="C1054:X1054"/>
    <mergeCell ref="Y1054:AN1054"/>
    <mergeCell ref="AO1054:AR1054"/>
    <mergeCell ref="C1055:P1055"/>
    <mergeCell ref="Q1055:U1055"/>
    <mergeCell ref="V1055:X1055"/>
    <mergeCell ref="Y1055:AN1055"/>
    <mergeCell ref="AO1055:AR1055"/>
    <mergeCell ref="C1057:E1058"/>
    <mergeCell ref="F1057:AB1058"/>
    <mergeCell ref="AC1057:AF1058"/>
    <mergeCell ref="AG1057:AJ1058"/>
    <mergeCell ref="AK1057:AN1058"/>
    <mergeCell ref="AO1057:AR1058"/>
    <mergeCell ref="C1049:E1049"/>
    <mergeCell ref="F1049:AB1049"/>
    <mergeCell ref="AC1049:AF1049"/>
    <mergeCell ref="AG1049:AJ1049"/>
    <mergeCell ref="AK1049:AN1049"/>
    <mergeCell ref="AO1049:AR1049"/>
    <mergeCell ref="C1050:E1050"/>
    <mergeCell ref="F1050:AB1050"/>
    <mergeCell ref="AC1050:AF1050"/>
    <mergeCell ref="AG1050:AJ1050"/>
    <mergeCell ref="AK1050:AN1050"/>
    <mergeCell ref="AO1050:AR1050"/>
    <mergeCell ref="C1051:X1051"/>
    <mergeCell ref="Y1051:AF1051"/>
    <mergeCell ref="AG1051:AJ1051"/>
    <mergeCell ref="AK1051:AN1051"/>
    <mergeCell ref="AO1051:AR1051"/>
    <mergeCell ref="C1046:E1046"/>
    <mergeCell ref="F1046:AB1046"/>
    <mergeCell ref="AC1046:AF1046"/>
    <mergeCell ref="AG1046:AJ1046"/>
    <mergeCell ref="AK1046:AN1046"/>
    <mergeCell ref="AO1046:AR1046"/>
    <mergeCell ref="C1047:E1047"/>
    <mergeCell ref="F1047:AB1047"/>
    <mergeCell ref="AC1047:AF1047"/>
    <mergeCell ref="AG1047:AJ1047"/>
    <mergeCell ref="AK1047:AN1047"/>
    <mergeCell ref="AO1047:AR1047"/>
    <mergeCell ref="C1048:E1048"/>
    <mergeCell ref="F1048:AB1048"/>
    <mergeCell ref="AC1048:AF1048"/>
    <mergeCell ref="AG1048:AJ1048"/>
    <mergeCell ref="AK1048:AN1048"/>
    <mergeCell ref="AO1048:AR1048"/>
    <mergeCell ref="C1043:E1043"/>
    <mergeCell ref="F1043:AB1043"/>
    <mergeCell ref="AC1043:AF1043"/>
    <mergeCell ref="AG1043:AJ1043"/>
    <mergeCell ref="AK1043:AN1043"/>
    <mergeCell ref="AO1043:AR1043"/>
    <mergeCell ref="C1044:E1044"/>
    <mergeCell ref="F1044:AB1044"/>
    <mergeCell ref="AC1044:AF1044"/>
    <mergeCell ref="AG1044:AJ1044"/>
    <mergeCell ref="AK1044:AN1044"/>
    <mergeCell ref="AO1044:AR1044"/>
    <mergeCell ref="C1045:E1045"/>
    <mergeCell ref="F1045:AB1045"/>
    <mergeCell ref="AC1045:AF1045"/>
    <mergeCell ref="AG1045:AJ1045"/>
    <mergeCell ref="AK1045:AN1045"/>
    <mergeCell ref="AO1045:AR1045"/>
    <mergeCell ref="C1038:E1038"/>
    <mergeCell ref="F1038:U1038"/>
    <mergeCell ref="V1038:X1038"/>
    <mergeCell ref="Y1038:AB1038"/>
    <mergeCell ref="AC1038:AF1038"/>
    <mergeCell ref="AG1038:AJ1038"/>
    <mergeCell ref="AK1038:AN1038"/>
    <mergeCell ref="AO1038:AR1038"/>
    <mergeCell ref="C1039:X1039"/>
    <mergeCell ref="Y1039:AN1039"/>
    <mergeCell ref="AO1039:AR1039"/>
    <mergeCell ref="C1041:E1042"/>
    <mergeCell ref="F1041:AB1042"/>
    <mergeCell ref="AC1041:AF1042"/>
    <mergeCell ref="AG1041:AJ1042"/>
    <mergeCell ref="AK1041:AN1042"/>
    <mergeCell ref="AO1041:AR1042"/>
    <mergeCell ref="C1035:E1035"/>
    <mergeCell ref="F1035:U1035"/>
    <mergeCell ref="V1035:X1035"/>
    <mergeCell ref="Y1035:AB1035"/>
    <mergeCell ref="AC1035:AF1035"/>
    <mergeCell ref="AG1035:AJ1035"/>
    <mergeCell ref="AK1035:AN1035"/>
    <mergeCell ref="AO1035:AR1035"/>
    <mergeCell ref="C1036:E1036"/>
    <mergeCell ref="F1036:U1036"/>
    <mergeCell ref="V1036:X1036"/>
    <mergeCell ref="Y1036:AB1036"/>
    <mergeCell ref="AC1036:AF1036"/>
    <mergeCell ref="AG1036:AJ1036"/>
    <mergeCell ref="AK1036:AN1036"/>
    <mergeCell ref="AO1036:AR1036"/>
    <mergeCell ref="C1037:E1037"/>
    <mergeCell ref="F1037:U1037"/>
    <mergeCell ref="V1037:X1037"/>
    <mergeCell ref="Y1037:AB1037"/>
    <mergeCell ref="AC1037:AF1037"/>
    <mergeCell ref="AG1037:AJ1037"/>
    <mergeCell ref="AK1037:AN1037"/>
    <mergeCell ref="AO1037:AR1037"/>
    <mergeCell ref="AC1032:AF1032"/>
    <mergeCell ref="AG1032:AJ1032"/>
    <mergeCell ref="AK1032:AN1032"/>
    <mergeCell ref="AO1032:AR1032"/>
    <mergeCell ref="C1033:E1033"/>
    <mergeCell ref="F1033:U1033"/>
    <mergeCell ref="V1033:X1033"/>
    <mergeCell ref="Y1033:AB1033"/>
    <mergeCell ref="AC1033:AF1033"/>
    <mergeCell ref="AG1033:AJ1033"/>
    <mergeCell ref="AK1033:AN1033"/>
    <mergeCell ref="AO1033:AR1033"/>
    <mergeCell ref="C1034:E1034"/>
    <mergeCell ref="F1034:U1034"/>
    <mergeCell ref="V1034:X1034"/>
    <mergeCell ref="Y1034:AB1034"/>
    <mergeCell ref="AC1034:AF1034"/>
    <mergeCell ref="AG1034:AJ1034"/>
    <mergeCell ref="AK1034:AN1034"/>
    <mergeCell ref="AO1034:AR1034"/>
    <mergeCell ref="C1163:H1163"/>
    <mergeCell ref="I1163:J1163"/>
    <mergeCell ref="K1163:Z1163"/>
    <mergeCell ref="AA1163:AB1163"/>
    <mergeCell ref="AC1163:AR1163"/>
    <mergeCell ref="C1165:F1165"/>
    <mergeCell ref="G1165:AA1165"/>
    <mergeCell ref="AB1165:AI1168"/>
    <mergeCell ref="AJ1165:AR1168"/>
    <mergeCell ref="C1166:F1166"/>
    <mergeCell ref="G1166:AA1166"/>
    <mergeCell ref="C1167:F1167"/>
    <mergeCell ref="G1167:AA1167"/>
    <mergeCell ref="C1168:AA1168"/>
    <mergeCell ref="C1024:AR1025"/>
    <mergeCell ref="C1026:F1027"/>
    <mergeCell ref="G1026:J1027"/>
    <mergeCell ref="K1026:N1027"/>
    <mergeCell ref="O1026:AK1027"/>
    <mergeCell ref="AL1026:AO1027"/>
    <mergeCell ref="AP1026:AR1027"/>
    <mergeCell ref="C1029:E1030"/>
    <mergeCell ref="F1029:U1030"/>
    <mergeCell ref="V1029:X1030"/>
    <mergeCell ref="Y1029:AF1029"/>
    <mergeCell ref="AG1029:AN1029"/>
    <mergeCell ref="AO1029:AR1030"/>
    <mergeCell ref="Y1030:AB1030"/>
    <mergeCell ref="AC1030:AF1030"/>
    <mergeCell ref="AG1030:AJ1030"/>
    <mergeCell ref="AK1030:AN1030"/>
    <mergeCell ref="C1031:E1031"/>
    <mergeCell ref="C1159:H1159"/>
    <mergeCell ref="I1159:J1159"/>
    <mergeCell ref="K1159:Z1159"/>
    <mergeCell ref="AA1159:AB1159"/>
    <mergeCell ref="AC1159:AR1159"/>
    <mergeCell ref="C1160:H1160"/>
    <mergeCell ref="I1160:J1160"/>
    <mergeCell ref="K1160:Z1160"/>
    <mergeCell ref="AA1160:AB1160"/>
    <mergeCell ref="AC1160:AR1160"/>
    <mergeCell ref="C1161:H1161"/>
    <mergeCell ref="I1161:J1161"/>
    <mergeCell ref="K1161:Z1161"/>
    <mergeCell ref="AA1161:AB1161"/>
    <mergeCell ref="AC1161:AR1161"/>
    <mergeCell ref="C1162:H1162"/>
    <mergeCell ref="I1162:J1162"/>
    <mergeCell ref="K1162:Z1162"/>
    <mergeCell ref="AA1162:AB1162"/>
    <mergeCell ref="AC1162:AR1162"/>
    <mergeCell ref="C1152:X1152"/>
    <mergeCell ref="Y1152:AN1152"/>
    <mergeCell ref="AO1152:AR1152"/>
    <mergeCell ref="C1154:X1156"/>
    <mergeCell ref="Y1154:AN1154"/>
    <mergeCell ref="AO1154:AR1154"/>
    <mergeCell ref="Y1155:AG1155"/>
    <mergeCell ref="AH1155:AN1155"/>
    <mergeCell ref="AO1155:AR1155"/>
    <mergeCell ref="A1156:B1156"/>
    <mergeCell ref="Y1156:AN1156"/>
    <mergeCell ref="AO1156:AR1156"/>
    <mergeCell ref="C1158:H1158"/>
    <mergeCell ref="I1158:J1158"/>
    <mergeCell ref="K1158:Z1158"/>
    <mergeCell ref="AA1158:AB1158"/>
    <mergeCell ref="AC1158:AR1158"/>
    <mergeCell ref="C1150:E1150"/>
    <mergeCell ref="F1150:R1150"/>
    <mergeCell ref="S1150:U1150"/>
    <mergeCell ref="V1150:X1150"/>
    <mergeCell ref="Y1150:AD1150"/>
    <mergeCell ref="AE1150:AG1150"/>
    <mergeCell ref="AH1150:AJ1150"/>
    <mergeCell ref="AK1150:AN1150"/>
    <mergeCell ref="AO1150:AR1150"/>
    <mergeCell ref="C1151:E1151"/>
    <mergeCell ref="F1151:R1151"/>
    <mergeCell ref="S1151:U1151"/>
    <mergeCell ref="V1151:X1151"/>
    <mergeCell ref="Y1151:AD1151"/>
    <mergeCell ref="AE1151:AG1151"/>
    <mergeCell ref="AH1151:AJ1151"/>
    <mergeCell ref="AK1151:AN1151"/>
    <mergeCell ref="AO1151:AR1151"/>
    <mergeCell ref="C1148:E1148"/>
    <mergeCell ref="F1148:R1148"/>
    <mergeCell ref="S1148:U1148"/>
    <mergeCell ref="V1148:X1148"/>
    <mergeCell ref="Y1148:AD1148"/>
    <mergeCell ref="AE1148:AG1148"/>
    <mergeCell ref="AH1148:AJ1148"/>
    <mergeCell ref="AK1148:AN1148"/>
    <mergeCell ref="AO1148:AR1148"/>
    <mergeCell ref="C1149:E1149"/>
    <mergeCell ref="F1149:R1149"/>
    <mergeCell ref="S1149:U1149"/>
    <mergeCell ref="V1149:X1149"/>
    <mergeCell ref="Y1149:AD1149"/>
    <mergeCell ref="AE1149:AG1149"/>
    <mergeCell ref="AH1149:AJ1149"/>
    <mergeCell ref="AK1149:AN1149"/>
    <mergeCell ref="AO1149:AR1149"/>
    <mergeCell ref="C1146:E1146"/>
    <mergeCell ref="F1146:R1146"/>
    <mergeCell ref="S1146:U1146"/>
    <mergeCell ref="V1146:X1146"/>
    <mergeCell ref="Y1146:AD1146"/>
    <mergeCell ref="AE1146:AG1146"/>
    <mergeCell ref="AH1146:AJ1146"/>
    <mergeCell ref="AK1146:AN1146"/>
    <mergeCell ref="AO1146:AR1146"/>
    <mergeCell ref="C1147:E1147"/>
    <mergeCell ref="F1147:R1147"/>
    <mergeCell ref="S1147:U1147"/>
    <mergeCell ref="V1147:X1147"/>
    <mergeCell ref="Y1147:AD1147"/>
    <mergeCell ref="AE1147:AG1147"/>
    <mergeCell ref="AH1147:AJ1147"/>
    <mergeCell ref="AK1147:AN1147"/>
    <mergeCell ref="AO1147:AR1147"/>
    <mergeCell ref="C1144:E1144"/>
    <mergeCell ref="F1144:R1144"/>
    <mergeCell ref="S1144:U1144"/>
    <mergeCell ref="V1144:X1144"/>
    <mergeCell ref="Y1144:AD1144"/>
    <mergeCell ref="AE1144:AG1144"/>
    <mergeCell ref="AH1144:AJ1144"/>
    <mergeCell ref="AK1144:AN1144"/>
    <mergeCell ref="AO1144:AR1144"/>
    <mergeCell ref="C1145:E1145"/>
    <mergeCell ref="F1145:R1145"/>
    <mergeCell ref="S1145:U1145"/>
    <mergeCell ref="V1145:X1145"/>
    <mergeCell ref="Y1145:AD1145"/>
    <mergeCell ref="AE1145:AG1145"/>
    <mergeCell ref="AH1145:AJ1145"/>
    <mergeCell ref="AK1145:AN1145"/>
    <mergeCell ref="AO1145:AR1145"/>
    <mergeCell ref="C1138:E1138"/>
    <mergeCell ref="F1138:AB1138"/>
    <mergeCell ref="AC1138:AF1138"/>
    <mergeCell ref="AG1138:AJ1138"/>
    <mergeCell ref="AK1138:AN1138"/>
    <mergeCell ref="AO1138:AR1138"/>
    <mergeCell ref="C1139:E1139"/>
    <mergeCell ref="F1139:AB1139"/>
    <mergeCell ref="AC1139:AF1139"/>
    <mergeCell ref="AG1139:AJ1139"/>
    <mergeCell ref="AK1139:AN1139"/>
    <mergeCell ref="AO1139:AR1139"/>
    <mergeCell ref="C1140:X1140"/>
    <mergeCell ref="Y1140:AN1140"/>
    <mergeCell ref="AO1140:AR1140"/>
    <mergeCell ref="C1142:E1143"/>
    <mergeCell ref="F1142:R1143"/>
    <mergeCell ref="S1142:U1143"/>
    <mergeCell ref="V1142:X1143"/>
    <mergeCell ref="Y1142:AD1143"/>
    <mergeCell ref="AE1142:AG1143"/>
    <mergeCell ref="AH1142:AJ1143"/>
    <mergeCell ref="AK1142:AN1143"/>
    <mergeCell ref="AO1142:AR1143"/>
    <mergeCell ref="C1135:E1135"/>
    <mergeCell ref="F1135:AB1135"/>
    <mergeCell ref="AC1135:AF1135"/>
    <mergeCell ref="AG1135:AJ1135"/>
    <mergeCell ref="AK1135:AN1135"/>
    <mergeCell ref="AO1135:AR1135"/>
    <mergeCell ref="C1136:E1136"/>
    <mergeCell ref="F1136:AB1136"/>
    <mergeCell ref="AC1136:AF1136"/>
    <mergeCell ref="AG1136:AJ1136"/>
    <mergeCell ref="AK1136:AN1136"/>
    <mergeCell ref="AO1136:AR1136"/>
    <mergeCell ref="C1137:E1137"/>
    <mergeCell ref="F1137:AB1137"/>
    <mergeCell ref="AC1137:AF1137"/>
    <mergeCell ref="AG1137:AJ1137"/>
    <mergeCell ref="AK1137:AN1137"/>
    <mergeCell ref="AO1137:AR1137"/>
    <mergeCell ref="C1132:E1132"/>
    <mergeCell ref="F1132:AB1132"/>
    <mergeCell ref="AC1132:AF1132"/>
    <mergeCell ref="AG1132:AJ1132"/>
    <mergeCell ref="AK1132:AN1132"/>
    <mergeCell ref="AO1132:AR1132"/>
    <mergeCell ref="C1133:E1133"/>
    <mergeCell ref="F1133:AB1133"/>
    <mergeCell ref="AC1133:AF1133"/>
    <mergeCell ref="AG1133:AJ1133"/>
    <mergeCell ref="AK1133:AN1133"/>
    <mergeCell ref="AO1133:AR1133"/>
    <mergeCell ref="C1134:E1134"/>
    <mergeCell ref="F1134:AB1134"/>
    <mergeCell ref="AC1134:AF1134"/>
    <mergeCell ref="AG1134:AJ1134"/>
    <mergeCell ref="AK1134:AN1134"/>
    <mergeCell ref="AO1134:AR1134"/>
    <mergeCell ref="C1125:X1125"/>
    <mergeCell ref="Y1125:AN1125"/>
    <mergeCell ref="AO1125:AR1125"/>
    <mergeCell ref="C1127:X1127"/>
    <mergeCell ref="Y1127:AN1127"/>
    <mergeCell ref="AO1127:AR1127"/>
    <mergeCell ref="C1128:P1128"/>
    <mergeCell ref="Q1128:U1128"/>
    <mergeCell ref="V1128:X1128"/>
    <mergeCell ref="Y1128:AN1128"/>
    <mergeCell ref="AO1128:AR1128"/>
    <mergeCell ref="C1130:E1131"/>
    <mergeCell ref="F1130:AB1131"/>
    <mergeCell ref="AC1130:AF1131"/>
    <mergeCell ref="AG1130:AJ1131"/>
    <mergeCell ref="AK1130:AN1131"/>
    <mergeCell ref="AO1130:AR1131"/>
    <mergeCell ref="C1122:E1122"/>
    <mergeCell ref="F1122:AB1122"/>
    <mergeCell ref="AC1122:AF1122"/>
    <mergeCell ref="AG1122:AJ1122"/>
    <mergeCell ref="AK1122:AN1122"/>
    <mergeCell ref="AO1122:AR1122"/>
    <mergeCell ref="C1123:E1123"/>
    <mergeCell ref="F1123:AB1123"/>
    <mergeCell ref="AC1123:AF1123"/>
    <mergeCell ref="AG1123:AJ1123"/>
    <mergeCell ref="AK1123:AN1123"/>
    <mergeCell ref="AO1123:AR1123"/>
    <mergeCell ref="C1124:X1124"/>
    <mergeCell ref="Y1124:AF1124"/>
    <mergeCell ref="AG1124:AJ1124"/>
    <mergeCell ref="AK1124:AN1124"/>
    <mergeCell ref="AO1124:AR1124"/>
    <mergeCell ref="C1119:E1119"/>
    <mergeCell ref="F1119:AB1119"/>
    <mergeCell ref="AC1119:AF1119"/>
    <mergeCell ref="AG1119:AJ1119"/>
    <mergeCell ref="AK1119:AN1119"/>
    <mergeCell ref="AO1119:AR1119"/>
    <mergeCell ref="C1120:E1120"/>
    <mergeCell ref="F1120:AB1120"/>
    <mergeCell ref="AC1120:AF1120"/>
    <mergeCell ref="AG1120:AJ1120"/>
    <mergeCell ref="AK1120:AN1120"/>
    <mergeCell ref="AO1120:AR1120"/>
    <mergeCell ref="C1121:E1121"/>
    <mergeCell ref="F1121:AB1121"/>
    <mergeCell ref="AC1121:AF1121"/>
    <mergeCell ref="AG1121:AJ1121"/>
    <mergeCell ref="AK1121:AN1121"/>
    <mergeCell ref="AO1121:AR1121"/>
    <mergeCell ref="C1116:E1116"/>
    <mergeCell ref="F1116:AB1116"/>
    <mergeCell ref="AC1116:AF1116"/>
    <mergeCell ref="AG1116:AJ1116"/>
    <mergeCell ref="AK1116:AN1116"/>
    <mergeCell ref="AO1116:AR1116"/>
    <mergeCell ref="C1117:E1117"/>
    <mergeCell ref="F1117:AB1117"/>
    <mergeCell ref="AC1117:AF1117"/>
    <mergeCell ref="AG1117:AJ1117"/>
    <mergeCell ref="AK1117:AN1117"/>
    <mergeCell ref="AO1117:AR1117"/>
    <mergeCell ref="C1118:E1118"/>
    <mergeCell ref="F1118:AB1118"/>
    <mergeCell ref="AC1118:AF1118"/>
    <mergeCell ref="AG1118:AJ1118"/>
    <mergeCell ref="AK1118:AN1118"/>
    <mergeCell ref="AO1118:AR1118"/>
    <mergeCell ref="C1111:E1111"/>
    <mergeCell ref="F1111:U1111"/>
    <mergeCell ref="V1111:X1111"/>
    <mergeCell ref="Y1111:AB1111"/>
    <mergeCell ref="AC1111:AF1111"/>
    <mergeCell ref="AG1111:AJ1111"/>
    <mergeCell ref="AK1111:AN1111"/>
    <mergeCell ref="AO1111:AR1111"/>
    <mergeCell ref="C1112:X1112"/>
    <mergeCell ref="Y1112:AN1112"/>
    <mergeCell ref="AO1112:AR1112"/>
    <mergeCell ref="C1114:E1115"/>
    <mergeCell ref="F1114:AB1115"/>
    <mergeCell ref="AC1114:AF1115"/>
    <mergeCell ref="AG1114:AJ1115"/>
    <mergeCell ref="AK1114:AN1115"/>
    <mergeCell ref="AO1114:AR1115"/>
    <mergeCell ref="C1108:E1108"/>
    <mergeCell ref="F1108:U1108"/>
    <mergeCell ref="V1108:X1108"/>
    <mergeCell ref="Y1108:AB1108"/>
    <mergeCell ref="AC1108:AF1108"/>
    <mergeCell ref="AG1108:AJ1108"/>
    <mergeCell ref="AK1108:AN1108"/>
    <mergeCell ref="AO1108:AR1108"/>
    <mergeCell ref="C1109:E1109"/>
    <mergeCell ref="F1109:U1109"/>
    <mergeCell ref="V1109:X1109"/>
    <mergeCell ref="Y1109:AB1109"/>
    <mergeCell ref="AC1109:AF1109"/>
    <mergeCell ref="AG1109:AJ1109"/>
    <mergeCell ref="AK1109:AN1109"/>
    <mergeCell ref="AO1109:AR1109"/>
    <mergeCell ref="C1110:E1110"/>
    <mergeCell ref="F1110:U1110"/>
    <mergeCell ref="V1110:X1110"/>
    <mergeCell ref="Y1110:AB1110"/>
    <mergeCell ref="AC1110:AF1110"/>
    <mergeCell ref="AG1110:AJ1110"/>
    <mergeCell ref="AK1110:AN1110"/>
    <mergeCell ref="AO1110:AR1110"/>
    <mergeCell ref="C1105:E1105"/>
    <mergeCell ref="F1105:U1105"/>
    <mergeCell ref="V1105:X1105"/>
    <mergeCell ref="Y1105:AB1105"/>
    <mergeCell ref="AC1105:AF1105"/>
    <mergeCell ref="AG1105:AJ1105"/>
    <mergeCell ref="AK1105:AN1105"/>
    <mergeCell ref="AO1105:AR1105"/>
    <mergeCell ref="C1106:E1106"/>
    <mergeCell ref="F1106:U1106"/>
    <mergeCell ref="V1106:X1106"/>
    <mergeCell ref="Y1106:AB1106"/>
    <mergeCell ref="AC1106:AF1106"/>
    <mergeCell ref="AG1106:AJ1106"/>
    <mergeCell ref="AK1106:AN1106"/>
    <mergeCell ref="AO1106:AR1106"/>
    <mergeCell ref="C1107:E1107"/>
    <mergeCell ref="F1107:U1107"/>
    <mergeCell ref="V1107:X1107"/>
    <mergeCell ref="Y1107:AB1107"/>
    <mergeCell ref="AC1107:AF1107"/>
    <mergeCell ref="AG1107:AJ1107"/>
    <mergeCell ref="AK1107:AN1107"/>
    <mergeCell ref="AO1107:AR1107"/>
    <mergeCell ref="C1102:E1103"/>
    <mergeCell ref="F1102:U1103"/>
    <mergeCell ref="V1102:X1103"/>
    <mergeCell ref="Y1102:AF1102"/>
    <mergeCell ref="AG1102:AN1102"/>
    <mergeCell ref="AO1102:AR1103"/>
    <mergeCell ref="Y1103:AB1103"/>
    <mergeCell ref="AC1103:AF1103"/>
    <mergeCell ref="AG1103:AJ1103"/>
    <mergeCell ref="AK1103:AN1103"/>
    <mergeCell ref="C1104:E1104"/>
    <mergeCell ref="F1104:U1104"/>
    <mergeCell ref="V1104:X1104"/>
    <mergeCell ref="Y1104:AB1104"/>
    <mergeCell ref="AC1104:AF1104"/>
    <mergeCell ref="AG1104:AJ1104"/>
    <mergeCell ref="AK1104:AN1104"/>
    <mergeCell ref="AO1104:AR1104"/>
    <mergeCell ref="C1017:H1017"/>
    <mergeCell ref="I1017:J1017"/>
    <mergeCell ref="K1017:Z1017"/>
    <mergeCell ref="AA1017:AB1017"/>
    <mergeCell ref="AC1017:AR1017"/>
    <mergeCell ref="C1019:F1019"/>
    <mergeCell ref="G1019:AA1019"/>
    <mergeCell ref="AB1019:AI1022"/>
    <mergeCell ref="AJ1019:AR1022"/>
    <mergeCell ref="C1020:F1020"/>
    <mergeCell ref="G1020:AA1020"/>
    <mergeCell ref="C1021:F1021"/>
    <mergeCell ref="G1021:AA1021"/>
    <mergeCell ref="C1022:AA1022"/>
    <mergeCell ref="C1097:AR1098"/>
    <mergeCell ref="C1099:F1100"/>
    <mergeCell ref="G1099:J1100"/>
    <mergeCell ref="K1099:N1100"/>
    <mergeCell ref="O1099:AK1100"/>
    <mergeCell ref="AL1099:AO1100"/>
    <mergeCell ref="AP1099:AR1100"/>
    <mergeCell ref="F1031:U1031"/>
    <mergeCell ref="V1031:X1031"/>
    <mergeCell ref="Y1031:AB1031"/>
    <mergeCell ref="AC1031:AF1031"/>
    <mergeCell ref="AG1031:AJ1031"/>
    <mergeCell ref="AK1031:AN1031"/>
    <mergeCell ref="AO1031:AR1031"/>
    <mergeCell ref="C1032:E1032"/>
    <mergeCell ref="F1032:U1032"/>
    <mergeCell ref="V1032:X1032"/>
    <mergeCell ref="Y1032:AB1032"/>
    <mergeCell ref="C1013:H1013"/>
    <mergeCell ref="I1013:J1013"/>
    <mergeCell ref="K1013:Z1013"/>
    <mergeCell ref="AA1013:AB1013"/>
    <mergeCell ref="AC1013:AR1013"/>
    <mergeCell ref="C1014:H1014"/>
    <mergeCell ref="I1014:J1014"/>
    <mergeCell ref="K1014:Z1014"/>
    <mergeCell ref="AA1014:AB1014"/>
    <mergeCell ref="AC1014:AR1014"/>
    <mergeCell ref="C1015:H1015"/>
    <mergeCell ref="I1015:J1015"/>
    <mergeCell ref="K1015:Z1015"/>
    <mergeCell ref="AA1015:AB1015"/>
    <mergeCell ref="AC1015:AR1015"/>
    <mergeCell ref="C1016:H1016"/>
    <mergeCell ref="I1016:J1016"/>
    <mergeCell ref="K1016:Z1016"/>
    <mergeCell ref="AA1016:AB1016"/>
    <mergeCell ref="AC1016:AR1016"/>
    <mergeCell ref="C1006:X1006"/>
    <mergeCell ref="Y1006:AN1006"/>
    <mergeCell ref="AO1006:AR1006"/>
    <mergeCell ref="C1008:X1010"/>
    <mergeCell ref="Y1008:AN1008"/>
    <mergeCell ref="AO1008:AR1008"/>
    <mergeCell ref="Y1009:AG1009"/>
    <mergeCell ref="AH1009:AN1009"/>
    <mergeCell ref="AO1009:AR1009"/>
    <mergeCell ref="A1010:B1010"/>
    <mergeCell ref="Y1010:AN1010"/>
    <mergeCell ref="AO1010:AR1010"/>
    <mergeCell ref="C1012:H1012"/>
    <mergeCell ref="I1012:J1012"/>
    <mergeCell ref="K1012:Z1012"/>
    <mergeCell ref="AA1012:AB1012"/>
    <mergeCell ref="AC1012:AR1012"/>
    <mergeCell ref="C1004:E1004"/>
    <mergeCell ref="F1004:R1004"/>
    <mergeCell ref="S1004:U1004"/>
    <mergeCell ref="V1004:X1004"/>
    <mergeCell ref="Y1004:AD1004"/>
    <mergeCell ref="AE1004:AG1004"/>
    <mergeCell ref="AH1004:AJ1004"/>
    <mergeCell ref="AK1004:AN1004"/>
    <mergeCell ref="AO1004:AR1004"/>
    <mergeCell ref="C1005:E1005"/>
    <mergeCell ref="F1005:R1005"/>
    <mergeCell ref="S1005:U1005"/>
    <mergeCell ref="V1005:X1005"/>
    <mergeCell ref="Y1005:AD1005"/>
    <mergeCell ref="AE1005:AG1005"/>
    <mergeCell ref="AH1005:AJ1005"/>
    <mergeCell ref="AK1005:AN1005"/>
    <mergeCell ref="AO1005:AR1005"/>
    <mergeCell ref="C1002:E1002"/>
    <mergeCell ref="F1002:R1002"/>
    <mergeCell ref="S1002:U1002"/>
    <mergeCell ref="V1002:X1002"/>
    <mergeCell ref="Y1002:AD1002"/>
    <mergeCell ref="AE1002:AG1002"/>
    <mergeCell ref="AH1002:AJ1002"/>
    <mergeCell ref="AK1002:AN1002"/>
    <mergeCell ref="AO1002:AR1002"/>
    <mergeCell ref="C1003:E1003"/>
    <mergeCell ref="F1003:R1003"/>
    <mergeCell ref="S1003:U1003"/>
    <mergeCell ref="V1003:X1003"/>
    <mergeCell ref="Y1003:AD1003"/>
    <mergeCell ref="AE1003:AG1003"/>
    <mergeCell ref="AH1003:AJ1003"/>
    <mergeCell ref="AK1003:AN1003"/>
    <mergeCell ref="AO1003:AR1003"/>
    <mergeCell ref="C1000:E1000"/>
    <mergeCell ref="F1000:R1000"/>
    <mergeCell ref="S1000:U1000"/>
    <mergeCell ref="V1000:X1000"/>
    <mergeCell ref="Y1000:AD1000"/>
    <mergeCell ref="AE1000:AG1000"/>
    <mergeCell ref="AH1000:AJ1000"/>
    <mergeCell ref="AK1000:AN1000"/>
    <mergeCell ref="AO1000:AR1000"/>
    <mergeCell ref="C1001:E1001"/>
    <mergeCell ref="F1001:R1001"/>
    <mergeCell ref="S1001:U1001"/>
    <mergeCell ref="V1001:X1001"/>
    <mergeCell ref="Y1001:AD1001"/>
    <mergeCell ref="AE1001:AG1001"/>
    <mergeCell ref="AH1001:AJ1001"/>
    <mergeCell ref="AK1001:AN1001"/>
    <mergeCell ref="AO1001:AR1001"/>
    <mergeCell ref="C998:E998"/>
    <mergeCell ref="F998:R998"/>
    <mergeCell ref="S998:U998"/>
    <mergeCell ref="V998:X998"/>
    <mergeCell ref="Y998:AD998"/>
    <mergeCell ref="AE998:AG998"/>
    <mergeCell ref="AH998:AJ998"/>
    <mergeCell ref="AK998:AN998"/>
    <mergeCell ref="AO998:AR998"/>
    <mergeCell ref="C999:E999"/>
    <mergeCell ref="F999:R999"/>
    <mergeCell ref="S999:U999"/>
    <mergeCell ref="V999:X999"/>
    <mergeCell ref="Y999:AD999"/>
    <mergeCell ref="AE999:AG999"/>
    <mergeCell ref="AH999:AJ999"/>
    <mergeCell ref="AK999:AN999"/>
    <mergeCell ref="AO999:AR999"/>
    <mergeCell ref="C992:E992"/>
    <mergeCell ref="F992:AB992"/>
    <mergeCell ref="AC992:AF992"/>
    <mergeCell ref="AG992:AJ992"/>
    <mergeCell ref="AK992:AN992"/>
    <mergeCell ref="AO992:AR992"/>
    <mergeCell ref="C993:E993"/>
    <mergeCell ref="F993:AB993"/>
    <mergeCell ref="AC993:AF993"/>
    <mergeCell ref="AG993:AJ993"/>
    <mergeCell ref="AK993:AN993"/>
    <mergeCell ref="AO993:AR993"/>
    <mergeCell ref="C994:X994"/>
    <mergeCell ref="Y994:AN994"/>
    <mergeCell ref="AO994:AR994"/>
    <mergeCell ref="C996:E997"/>
    <mergeCell ref="F996:R997"/>
    <mergeCell ref="S996:U997"/>
    <mergeCell ref="V996:X997"/>
    <mergeCell ref="Y996:AD997"/>
    <mergeCell ref="AE996:AG997"/>
    <mergeCell ref="AH996:AJ997"/>
    <mergeCell ref="AK996:AN997"/>
    <mergeCell ref="AO996:AR997"/>
    <mergeCell ref="C989:E989"/>
    <mergeCell ref="F989:AB989"/>
    <mergeCell ref="AC989:AF989"/>
    <mergeCell ref="AG989:AJ989"/>
    <mergeCell ref="AK989:AN989"/>
    <mergeCell ref="AO989:AR989"/>
    <mergeCell ref="C990:E990"/>
    <mergeCell ref="F990:AB990"/>
    <mergeCell ref="AC990:AF990"/>
    <mergeCell ref="AG990:AJ990"/>
    <mergeCell ref="AK990:AN990"/>
    <mergeCell ref="AO990:AR990"/>
    <mergeCell ref="C991:E991"/>
    <mergeCell ref="F991:AB991"/>
    <mergeCell ref="AC991:AF991"/>
    <mergeCell ref="AG991:AJ991"/>
    <mergeCell ref="AK991:AN991"/>
    <mergeCell ref="AO991:AR991"/>
    <mergeCell ref="C986:E986"/>
    <mergeCell ref="F986:AB986"/>
    <mergeCell ref="AC986:AF986"/>
    <mergeCell ref="AG986:AJ986"/>
    <mergeCell ref="AK986:AN986"/>
    <mergeCell ref="AO986:AR986"/>
    <mergeCell ref="C987:E987"/>
    <mergeCell ref="F987:AB987"/>
    <mergeCell ref="AC987:AF987"/>
    <mergeCell ref="AG987:AJ987"/>
    <mergeCell ref="AK987:AN987"/>
    <mergeCell ref="AO987:AR987"/>
    <mergeCell ref="C988:E988"/>
    <mergeCell ref="F988:AB988"/>
    <mergeCell ref="AC988:AF988"/>
    <mergeCell ref="AG988:AJ988"/>
    <mergeCell ref="AK988:AN988"/>
    <mergeCell ref="AO988:AR988"/>
    <mergeCell ref="C978:X978"/>
    <mergeCell ref="Y978:AF978"/>
    <mergeCell ref="AG978:AJ978"/>
    <mergeCell ref="AK978:AN978"/>
    <mergeCell ref="AO978:AR978"/>
    <mergeCell ref="C979:X979"/>
    <mergeCell ref="Y979:AN979"/>
    <mergeCell ref="AO979:AR979"/>
    <mergeCell ref="C981:X981"/>
    <mergeCell ref="Y981:AN981"/>
    <mergeCell ref="AO981:AR981"/>
    <mergeCell ref="C982:P982"/>
    <mergeCell ref="Q982:U982"/>
    <mergeCell ref="V982:X982"/>
    <mergeCell ref="Y982:AN982"/>
    <mergeCell ref="AO982:AR982"/>
    <mergeCell ref="C984:E985"/>
    <mergeCell ref="F984:AB985"/>
    <mergeCell ref="AC984:AF985"/>
    <mergeCell ref="AG984:AJ985"/>
    <mergeCell ref="AK984:AN985"/>
    <mergeCell ref="AO984:AR985"/>
    <mergeCell ref="C975:E975"/>
    <mergeCell ref="F975:AB975"/>
    <mergeCell ref="AC975:AF975"/>
    <mergeCell ref="AG975:AJ975"/>
    <mergeCell ref="AK975:AN975"/>
    <mergeCell ref="AO975:AR975"/>
    <mergeCell ref="C976:E976"/>
    <mergeCell ref="F976:AB976"/>
    <mergeCell ref="AC976:AF976"/>
    <mergeCell ref="AG976:AJ976"/>
    <mergeCell ref="AK976:AN976"/>
    <mergeCell ref="AO976:AR976"/>
    <mergeCell ref="C977:E977"/>
    <mergeCell ref="F977:AB977"/>
    <mergeCell ref="AC977:AF977"/>
    <mergeCell ref="AG977:AJ977"/>
    <mergeCell ref="AK977:AN977"/>
    <mergeCell ref="AO977:AR977"/>
    <mergeCell ref="C972:E972"/>
    <mergeCell ref="F972:AB972"/>
    <mergeCell ref="AC972:AF972"/>
    <mergeCell ref="AG972:AJ972"/>
    <mergeCell ref="AK972:AN972"/>
    <mergeCell ref="AO972:AR972"/>
    <mergeCell ref="C973:E973"/>
    <mergeCell ref="F973:AB973"/>
    <mergeCell ref="AC973:AF973"/>
    <mergeCell ref="AG973:AJ973"/>
    <mergeCell ref="AK973:AN973"/>
    <mergeCell ref="AO973:AR973"/>
    <mergeCell ref="C974:E974"/>
    <mergeCell ref="F974:AB974"/>
    <mergeCell ref="AC974:AF974"/>
    <mergeCell ref="AG974:AJ974"/>
    <mergeCell ref="AK974:AN974"/>
    <mergeCell ref="AO974:AR974"/>
    <mergeCell ref="C968:E969"/>
    <mergeCell ref="F968:AB969"/>
    <mergeCell ref="AC968:AF969"/>
    <mergeCell ref="AG968:AJ969"/>
    <mergeCell ref="AK968:AN969"/>
    <mergeCell ref="AO968:AR969"/>
    <mergeCell ref="C970:E970"/>
    <mergeCell ref="F970:AB970"/>
    <mergeCell ref="AC970:AF970"/>
    <mergeCell ref="AG970:AJ970"/>
    <mergeCell ref="AK970:AN970"/>
    <mergeCell ref="AO970:AR970"/>
    <mergeCell ref="C971:E971"/>
    <mergeCell ref="F971:AB971"/>
    <mergeCell ref="AC971:AF971"/>
    <mergeCell ref="AG971:AJ971"/>
    <mergeCell ref="AK971:AN971"/>
    <mergeCell ref="AO971:AR971"/>
    <mergeCell ref="C964:E964"/>
    <mergeCell ref="F964:U964"/>
    <mergeCell ref="V964:X964"/>
    <mergeCell ref="Y964:AB964"/>
    <mergeCell ref="AC964:AF964"/>
    <mergeCell ref="AG964:AJ964"/>
    <mergeCell ref="AK964:AN964"/>
    <mergeCell ref="AO964:AR964"/>
    <mergeCell ref="C965:E965"/>
    <mergeCell ref="F965:U965"/>
    <mergeCell ref="V965:X965"/>
    <mergeCell ref="Y965:AB965"/>
    <mergeCell ref="AC965:AF965"/>
    <mergeCell ref="AG965:AJ965"/>
    <mergeCell ref="AK965:AN965"/>
    <mergeCell ref="AO965:AR965"/>
    <mergeCell ref="C966:X966"/>
    <mergeCell ref="Y966:AN966"/>
    <mergeCell ref="AO966:AR966"/>
    <mergeCell ref="C961:E961"/>
    <mergeCell ref="F961:U961"/>
    <mergeCell ref="V961:X961"/>
    <mergeCell ref="Y961:AB961"/>
    <mergeCell ref="AC961:AF961"/>
    <mergeCell ref="AG961:AJ961"/>
    <mergeCell ref="AK961:AN961"/>
    <mergeCell ref="AO961:AR961"/>
    <mergeCell ref="C962:E962"/>
    <mergeCell ref="F962:U962"/>
    <mergeCell ref="V962:X962"/>
    <mergeCell ref="Y962:AB962"/>
    <mergeCell ref="AC962:AF962"/>
    <mergeCell ref="AG962:AJ962"/>
    <mergeCell ref="AK962:AN962"/>
    <mergeCell ref="AO962:AR962"/>
    <mergeCell ref="C963:E963"/>
    <mergeCell ref="F963:U963"/>
    <mergeCell ref="V963:X963"/>
    <mergeCell ref="Y963:AB963"/>
    <mergeCell ref="AC963:AF963"/>
    <mergeCell ref="AG963:AJ963"/>
    <mergeCell ref="AK963:AN963"/>
    <mergeCell ref="AO963:AR963"/>
    <mergeCell ref="C958:E958"/>
    <mergeCell ref="F958:U958"/>
    <mergeCell ref="V958:X958"/>
    <mergeCell ref="Y958:AB958"/>
    <mergeCell ref="AC958:AF958"/>
    <mergeCell ref="AG958:AJ958"/>
    <mergeCell ref="AK958:AN958"/>
    <mergeCell ref="AO958:AR958"/>
    <mergeCell ref="C959:E959"/>
    <mergeCell ref="F959:U959"/>
    <mergeCell ref="V959:X959"/>
    <mergeCell ref="Y959:AB959"/>
    <mergeCell ref="AC959:AF959"/>
    <mergeCell ref="AG959:AJ959"/>
    <mergeCell ref="AK959:AN959"/>
    <mergeCell ref="AO959:AR959"/>
    <mergeCell ref="C960:E960"/>
    <mergeCell ref="F960:U960"/>
    <mergeCell ref="V960:X960"/>
    <mergeCell ref="Y960:AB960"/>
    <mergeCell ref="AC960:AF960"/>
    <mergeCell ref="AG960:AJ960"/>
    <mergeCell ref="AK960:AN960"/>
    <mergeCell ref="AO960:AR960"/>
    <mergeCell ref="C951:AR952"/>
    <mergeCell ref="C953:F954"/>
    <mergeCell ref="G953:J954"/>
    <mergeCell ref="K953:N954"/>
    <mergeCell ref="O953:AK954"/>
    <mergeCell ref="AL953:AO954"/>
    <mergeCell ref="AP953:AR954"/>
    <mergeCell ref="C956:E957"/>
    <mergeCell ref="F956:U957"/>
    <mergeCell ref="V956:X957"/>
    <mergeCell ref="Y956:AF956"/>
    <mergeCell ref="AG956:AN956"/>
    <mergeCell ref="AO956:AR957"/>
    <mergeCell ref="Y957:AB957"/>
    <mergeCell ref="AC957:AF957"/>
    <mergeCell ref="AG957:AJ957"/>
    <mergeCell ref="AK957:AN957"/>
    <mergeCell ref="C292:AA292"/>
    <mergeCell ref="AC285:AR285"/>
    <mergeCell ref="C286:H286"/>
    <mergeCell ref="I286:J286"/>
    <mergeCell ref="K286:Z286"/>
    <mergeCell ref="AA286:AB286"/>
    <mergeCell ref="AC286:AR286"/>
    <mergeCell ref="C287:H287"/>
    <mergeCell ref="I287:J287"/>
    <mergeCell ref="K287:Z287"/>
    <mergeCell ref="AA287:AB287"/>
    <mergeCell ref="AC287:AR287"/>
    <mergeCell ref="C289:F289"/>
    <mergeCell ref="G289:AA289"/>
    <mergeCell ref="AB289:AI292"/>
    <mergeCell ref="AJ289:AR292"/>
    <mergeCell ref="C290:F290"/>
    <mergeCell ref="AC283:AR283"/>
    <mergeCell ref="C284:H284"/>
    <mergeCell ref="I284:J284"/>
    <mergeCell ref="K284:Z284"/>
    <mergeCell ref="AA284:AB284"/>
    <mergeCell ref="AC284:AR284"/>
    <mergeCell ref="C285:H285"/>
    <mergeCell ref="I285:J285"/>
    <mergeCell ref="K285:Z285"/>
    <mergeCell ref="AA285:AB285"/>
    <mergeCell ref="C283:H283"/>
    <mergeCell ref="I283:J283"/>
    <mergeCell ref="K283:Z283"/>
    <mergeCell ref="AA283:AB283"/>
    <mergeCell ref="G290:AA290"/>
    <mergeCell ref="C291:F291"/>
    <mergeCell ref="G291:AA291"/>
    <mergeCell ref="C276:X276"/>
    <mergeCell ref="Y276:AN276"/>
    <mergeCell ref="AO276:AR276"/>
    <mergeCell ref="C278:X280"/>
    <mergeCell ref="Y278:AN278"/>
    <mergeCell ref="AO278:AR278"/>
    <mergeCell ref="Y279:AG279"/>
    <mergeCell ref="AH279:AN279"/>
    <mergeCell ref="AO279:AR279"/>
    <mergeCell ref="A280:B280"/>
    <mergeCell ref="Y280:AN280"/>
    <mergeCell ref="AO280:AR280"/>
    <mergeCell ref="C282:H282"/>
    <mergeCell ref="I282:J282"/>
    <mergeCell ref="K282:Z282"/>
    <mergeCell ref="AA282:AB282"/>
    <mergeCell ref="AC282:AR282"/>
    <mergeCell ref="C274:E274"/>
    <mergeCell ref="F274:R274"/>
    <mergeCell ref="S274:U274"/>
    <mergeCell ref="V274:X274"/>
    <mergeCell ref="Y274:AD274"/>
    <mergeCell ref="AE274:AG274"/>
    <mergeCell ref="AH274:AJ274"/>
    <mergeCell ref="AK274:AN274"/>
    <mergeCell ref="AO274:AR274"/>
    <mergeCell ref="C275:E275"/>
    <mergeCell ref="F275:R275"/>
    <mergeCell ref="S275:U275"/>
    <mergeCell ref="V275:X275"/>
    <mergeCell ref="Y275:AD275"/>
    <mergeCell ref="AE275:AG275"/>
    <mergeCell ref="AH275:AJ275"/>
    <mergeCell ref="AK275:AN275"/>
    <mergeCell ref="AO275:AR275"/>
    <mergeCell ref="C272:E272"/>
    <mergeCell ref="F272:R272"/>
    <mergeCell ref="S272:U272"/>
    <mergeCell ref="V272:X272"/>
    <mergeCell ref="Y272:AD272"/>
    <mergeCell ref="AE272:AG272"/>
    <mergeCell ref="AH272:AJ272"/>
    <mergeCell ref="AK272:AN272"/>
    <mergeCell ref="AO272:AR272"/>
    <mergeCell ref="C273:E273"/>
    <mergeCell ref="F273:R273"/>
    <mergeCell ref="S273:U273"/>
    <mergeCell ref="V273:X273"/>
    <mergeCell ref="Y273:AD273"/>
    <mergeCell ref="AE273:AG273"/>
    <mergeCell ref="AH273:AJ273"/>
    <mergeCell ref="AK273:AN273"/>
    <mergeCell ref="AO273:AR273"/>
    <mergeCell ref="C270:E270"/>
    <mergeCell ref="F270:R270"/>
    <mergeCell ref="S270:U270"/>
    <mergeCell ref="V270:X270"/>
    <mergeCell ref="Y270:AD270"/>
    <mergeCell ref="AE270:AG270"/>
    <mergeCell ref="AH270:AJ270"/>
    <mergeCell ref="AK270:AN270"/>
    <mergeCell ref="AO270:AR270"/>
    <mergeCell ref="C271:E271"/>
    <mergeCell ref="F271:R271"/>
    <mergeCell ref="S271:U271"/>
    <mergeCell ref="V271:X271"/>
    <mergeCell ref="Y271:AD271"/>
    <mergeCell ref="AE271:AG271"/>
    <mergeCell ref="AH271:AJ271"/>
    <mergeCell ref="AK271:AN271"/>
    <mergeCell ref="AO271:AR271"/>
    <mergeCell ref="C268:E268"/>
    <mergeCell ref="F268:R268"/>
    <mergeCell ref="S268:U268"/>
    <mergeCell ref="V268:X268"/>
    <mergeCell ref="Y268:AD268"/>
    <mergeCell ref="AE268:AG268"/>
    <mergeCell ref="AH268:AJ268"/>
    <mergeCell ref="AK268:AN268"/>
    <mergeCell ref="AO268:AR268"/>
    <mergeCell ref="C269:E269"/>
    <mergeCell ref="F269:R269"/>
    <mergeCell ref="S269:U269"/>
    <mergeCell ref="V269:X269"/>
    <mergeCell ref="Y269:AD269"/>
    <mergeCell ref="AE269:AG269"/>
    <mergeCell ref="AH269:AJ269"/>
    <mergeCell ref="AK269:AN269"/>
    <mergeCell ref="AO269:AR269"/>
    <mergeCell ref="C262:E262"/>
    <mergeCell ref="F262:AB262"/>
    <mergeCell ref="AC262:AF262"/>
    <mergeCell ref="AG262:AJ262"/>
    <mergeCell ref="AK262:AN262"/>
    <mergeCell ref="AO262:AR262"/>
    <mergeCell ref="C263:E263"/>
    <mergeCell ref="F263:AB263"/>
    <mergeCell ref="AC263:AF263"/>
    <mergeCell ref="AG263:AJ263"/>
    <mergeCell ref="AK263:AN263"/>
    <mergeCell ref="AO263:AR263"/>
    <mergeCell ref="C264:X264"/>
    <mergeCell ref="Y264:AN264"/>
    <mergeCell ref="AO264:AR264"/>
    <mergeCell ref="C266:E267"/>
    <mergeCell ref="F266:R267"/>
    <mergeCell ref="S266:U267"/>
    <mergeCell ref="V266:X267"/>
    <mergeCell ref="Y266:AD267"/>
    <mergeCell ref="AE266:AG267"/>
    <mergeCell ref="AH266:AJ267"/>
    <mergeCell ref="AK266:AN267"/>
    <mergeCell ref="AO266:AR267"/>
    <mergeCell ref="C259:E259"/>
    <mergeCell ref="F259:AB259"/>
    <mergeCell ref="AC259:AF259"/>
    <mergeCell ref="AG259:AJ259"/>
    <mergeCell ref="AK259:AN259"/>
    <mergeCell ref="AO259:AR259"/>
    <mergeCell ref="C260:E260"/>
    <mergeCell ref="F260:AB260"/>
    <mergeCell ref="AC260:AF260"/>
    <mergeCell ref="AG260:AJ260"/>
    <mergeCell ref="AK260:AN260"/>
    <mergeCell ref="AO260:AR260"/>
    <mergeCell ref="C261:E261"/>
    <mergeCell ref="F261:AB261"/>
    <mergeCell ref="AC261:AF261"/>
    <mergeCell ref="AG261:AJ261"/>
    <mergeCell ref="AK261:AN261"/>
    <mergeCell ref="AO261:AR261"/>
    <mergeCell ref="C256:E256"/>
    <mergeCell ref="F256:AB256"/>
    <mergeCell ref="AC256:AF256"/>
    <mergeCell ref="AG256:AJ256"/>
    <mergeCell ref="AK256:AN256"/>
    <mergeCell ref="AO256:AR256"/>
    <mergeCell ref="C257:E257"/>
    <mergeCell ref="F257:AB257"/>
    <mergeCell ref="AC257:AF257"/>
    <mergeCell ref="AG257:AJ257"/>
    <mergeCell ref="AK257:AN257"/>
    <mergeCell ref="AO257:AR257"/>
    <mergeCell ref="C258:E258"/>
    <mergeCell ref="F258:AB258"/>
    <mergeCell ref="AC258:AF258"/>
    <mergeCell ref="AG258:AJ258"/>
    <mergeCell ref="AK258:AN258"/>
    <mergeCell ref="AO258:AR258"/>
    <mergeCell ref="C249:X249"/>
    <mergeCell ref="Y249:AN249"/>
    <mergeCell ref="AO249:AR249"/>
    <mergeCell ref="C251:X251"/>
    <mergeCell ref="Y251:AN251"/>
    <mergeCell ref="AO251:AR251"/>
    <mergeCell ref="C252:P252"/>
    <mergeCell ref="Q252:U252"/>
    <mergeCell ref="V252:X252"/>
    <mergeCell ref="Y252:AN252"/>
    <mergeCell ref="AO252:AR252"/>
    <mergeCell ref="C254:E255"/>
    <mergeCell ref="F254:AB255"/>
    <mergeCell ref="AC254:AF255"/>
    <mergeCell ref="AG254:AJ255"/>
    <mergeCell ref="AK254:AN255"/>
    <mergeCell ref="AO254:AR255"/>
    <mergeCell ref="C246:E246"/>
    <mergeCell ref="F246:AB246"/>
    <mergeCell ref="AC246:AF246"/>
    <mergeCell ref="AG246:AJ246"/>
    <mergeCell ref="AK246:AN246"/>
    <mergeCell ref="AO246:AR246"/>
    <mergeCell ref="C247:E247"/>
    <mergeCell ref="F247:AB247"/>
    <mergeCell ref="AC247:AF247"/>
    <mergeCell ref="AG247:AJ247"/>
    <mergeCell ref="AK247:AN247"/>
    <mergeCell ref="AO247:AR247"/>
    <mergeCell ref="C248:X248"/>
    <mergeCell ref="Y248:AF248"/>
    <mergeCell ref="AG248:AJ248"/>
    <mergeCell ref="AK248:AN248"/>
    <mergeCell ref="AO248:AR248"/>
    <mergeCell ref="C243:E243"/>
    <mergeCell ref="F243:AB243"/>
    <mergeCell ref="AC243:AF243"/>
    <mergeCell ref="AG243:AJ243"/>
    <mergeCell ref="AK243:AN243"/>
    <mergeCell ref="AO243:AR243"/>
    <mergeCell ref="C244:E244"/>
    <mergeCell ref="F244:AB244"/>
    <mergeCell ref="AC244:AF244"/>
    <mergeCell ref="AG244:AJ244"/>
    <mergeCell ref="AK244:AN244"/>
    <mergeCell ref="AO244:AR244"/>
    <mergeCell ref="C245:E245"/>
    <mergeCell ref="F245:AB245"/>
    <mergeCell ref="AC245:AF245"/>
    <mergeCell ref="AG245:AJ245"/>
    <mergeCell ref="AK245:AN245"/>
    <mergeCell ref="AO245:AR245"/>
    <mergeCell ref="C240:E240"/>
    <mergeCell ref="F240:AB240"/>
    <mergeCell ref="AC240:AF240"/>
    <mergeCell ref="AG240:AJ240"/>
    <mergeCell ref="AK240:AN240"/>
    <mergeCell ref="AO240:AR240"/>
    <mergeCell ref="C241:E241"/>
    <mergeCell ref="F241:AB241"/>
    <mergeCell ref="AC241:AF241"/>
    <mergeCell ref="AG241:AJ241"/>
    <mergeCell ref="AK241:AN241"/>
    <mergeCell ref="AO241:AR241"/>
    <mergeCell ref="C242:E242"/>
    <mergeCell ref="F242:AB242"/>
    <mergeCell ref="AC242:AF242"/>
    <mergeCell ref="AG242:AJ242"/>
    <mergeCell ref="AK242:AN242"/>
    <mergeCell ref="AO242:AR242"/>
    <mergeCell ref="C235:E235"/>
    <mergeCell ref="F235:U235"/>
    <mergeCell ref="V235:X235"/>
    <mergeCell ref="Y235:AB235"/>
    <mergeCell ref="AC235:AF235"/>
    <mergeCell ref="AG235:AJ235"/>
    <mergeCell ref="AK235:AN235"/>
    <mergeCell ref="AO235:AR235"/>
    <mergeCell ref="C236:X236"/>
    <mergeCell ref="Y236:AN236"/>
    <mergeCell ref="AO236:AR236"/>
    <mergeCell ref="C238:E239"/>
    <mergeCell ref="F238:AB239"/>
    <mergeCell ref="AC238:AF239"/>
    <mergeCell ref="AG238:AJ239"/>
    <mergeCell ref="AK238:AN239"/>
    <mergeCell ref="AO238:AR239"/>
    <mergeCell ref="C232:E232"/>
    <mergeCell ref="F232:U232"/>
    <mergeCell ref="V232:X232"/>
    <mergeCell ref="Y232:AB232"/>
    <mergeCell ref="AC232:AF232"/>
    <mergeCell ref="AG232:AJ232"/>
    <mergeCell ref="AK232:AN232"/>
    <mergeCell ref="AO232:AR232"/>
    <mergeCell ref="C233:E233"/>
    <mergeCell ref="F233:U233"/>
    <mergeCell ref="V233:X233"/>
    <mergeCell ref="Y233:AB233"/>
    <mergeCell ref="AC233:AF233"/>
    <mergeCell ref="AG233:AJ233"/>
    <mergeCell ref="AK233:AN233"/>
    <mergeCell ref="AO233:AR233"/>
    <mergeCell ref="C234:E234"/>
    <mergeCell ref="F234:U234"/>
    <mergeCell ref="V234:X234"/>
    <mergeCell ref="Y234:AB234"/>
    <mergeCell ref="AC234:AF234"/>
    <mergeCell ref="AG234:AJ234"/>
    <mergeCell ref="AK234:AN234"/>
    <mergeCell ref="AO234:AR234"/>
    <mergeCell ref="C229:E229"/>
    <mergeCell ref="F229:U229"/>
    <mergeCell ref="V229:X229"/>
    <mergeCell ref="Y229:AB229"/>
    <mergeCell ref="AC229:AF229"/>
    <mergeCell ref="AG229:AJ229"/>
    <mergeCell ref="AK229:AN229"/>
    <mergeCell ref="AO229:AR229"/>
    <mergeCell ref="C230:E230"/>
    <mergeCell ref="F230:U230"/>
    <mergeCell ref="V230:X230"/>
    <mergeCell ref="Y230:AB230"/>
    <mergeCell ref="AC230:AF230"/>
    <mergeCell ref="AG230:AJ230"/>
    <mergeCell ref="AK230:AN230"/>
    <mergeCell ref="AO230:AR230"/>
    <mergeCell ref="C231:E231"/>
    <mergeCell ref="F231:U231"/>
    <mergeCell ref="V231:X231"/>
    <mergeCell ref="Y231:AB231"/>
    <mergeCell ref="AC231:AF231"/>
    <mergeCell ref="AG231:AJ231"/>
    <mergeCell ref="AK231:AN231"/>
    <mergeCell ref="AO231:AR231"/>
    <mergeCell ref="C226:E227"/>
    <mergeCell ref="F226:U227"/>
    <mergeCell ref="V226:X227"/>
    <mergeCell ref="Y226:AF226"/>
    <mergeCell ref="AG226:AN226"/>
    <mergeCell ref="AO226:AR227"/>
    <mergeCell ref="Y227:AB227"/>
    <mergeCell ref="AC227:AF227"/>
    <mergeCell ref="AG227:AJ227"/>
    <mergeCell ref="AK227:AN227"/>
    <mergeCell ref="C228:E228"/>
    <mergeCell ref="F228:U228"/>
    <mergeCell ref="V228:X228"/>
    <mergeCell ref="Y228:AB228"/>
    <mergeCell ref="AC228:AF228"/>
    <mergeCell ref="AG228:AJ228"/>
    <mergeCell ref="AK228:AN228"/>
    <mergeCell ref="AO228:AR228"/>
    <mergeCell ref="C214:H214"/>
    <mergeCell ref="I214:J214"/>
    <mergeCell ref="K214:Z214"/>
    <mergeCell ref="AA214:AB214"/>
    <mergeCell ref="AC214:AR214"/>
    <mergeCell ref="C216:F216"/>
    <mergeCell ref="G216:AA216"/>
    <mergeCell ref="AB216:AI219"/>
    <mergeCell ref="AJ216:AR219"/>
    <mergeCell ref="C217:F217"/>
    <mergeCell ref="G217:AA217"/>
    <mergeCell ref="C218:F218"/>
    <mergeCell ref="G218:AA218"/>
    <mergeCell ref="C219:AA219"/>
    <mergeCell ref="C221:AR222"/>
    <mergeCell ref="C223:F224"/>
    <mergeCell ref="G223:J224"/>
    <mergeCell ref="K223:N224"/>
    <mergeCell ref="O223:AK224"/>
    <mergeCell ref="AL223:AO224"/>
    <mergeCell ref="AP223:AR224"/>
    <mergeCell ref="C210:H210"/>
    <mergeCell ref="I210:J210"/>
    <mergeCell ref="K210:Z210"/>
    <mergeCell ref="AA210:AB210"/>
    <mergeCell ref="AC210:AR210"/>
    <mergeCell ref="C211:H211"/>
    <mergeCell ref="I211:J211"/>
    <mergeCell ref="K211:Z211"/>
    <mergeCell ref="AA211:AB211"/>
    <mergeCell ref="AC211:AR211"/>
    <mergeCell ref="C212:H212"/>
    <mergeCell ref="I212:J212"/>
    <mergeCell ref="K212:Z212"/>
    <mergeCell ref="AA212:AB212"/>
    <mergeCell ref="AC212:AR212"/>
    <mergeCell ref="C213:H213"/>
    <mergeCell ref="I213:J213"/>
    <mergeCell ref="K213:Z213"/>
    <mergeCell ref="AA213:AB213"/>
    <mergeCell ref="AC213:AR213"/>
    <mergeCell ref="C203:X203"/>
    <mergeCell ref="Y203:AN203"/>
    <mergeCell ref="AO203:AR203"/>
    <mergeCell ref="C205:X207"/>
    <mergeCell ref="Y205:AN205"/>
    <mergeCell ref="AO205:AR205"/>
    <mergeCell ref="Y206:AG206"/>
    <mergeCell ref="AH206:AN206"/>
    <mergeCell ref="AO206:AR206"/>
    <mergeCell ref="A207:B207"/>
    <mergeCell ref="Y207:AN207"/>
    <mergeCell ref="AO207:AR207"/>
    <mergeCell ref="C209:H209"/>
    <mergeCell ref="I209:J209"/>
    <mergeCell ref="K209:Z209"/>
    <mergeCell ref="AA209:AB209"/>
    <mergeCell ref="AC209:AR209"/>
    <mergeCell ref="C201:E201"/>
    <mergeCell ref="F201:R201"/>
    <mergeCell ref="S201:U201"/>
    <mergeCell ref="V201:X201"/>
    <mergeCell ref="Y201:AD201"/>
    <mergeCell ref="AE201:AG201"/>
    <mergeCell ref="AH201:AJ201"/>
    <mergeCell ref="AK201:AN201"/>
    <mergeCell ref="AO201:AR201"/>
    <mergeCell ref="C202:E202"/>
    <mergeCell ref="F202:R202"/>
    <mergeCell ref="S202:U202"/>
    <mergeCell ref="V202:X202"/>
    <mergeCell ref="Y202:AD202"/>
    <mergeCell ref="AE202:AG202"/>
    <mergeCell ref="AH202:AJ202"/>
    <mergeCell ref="AK202:AN202"/>
    <mergeCell ref="AO202:AR202"/>
    <mergeCell ref="C199:E199"/>
    <mergeCell ref="F199:R199"/>
    <mergeCell ref="S199:U199"/>
    <mergeCell ref="V199:X199"/>
    <mergeCell ref="Y199:AD199"/>
    <mergeCell ref="AE199:AG199"/>
    <mergeCell ref="AH199:AJ199"/>
    <mergeCell ref="AK199:AN199"/>
    <mergeCell ref="AO199:AR199"/>
    <mergeCell ref="C200:E200"/>
    <mergeCell ref="F200:R200"/>
    <mergeCell ref="S200:U200"/>
    <mergeCell ref="V200:X200"/>
    <mergeCell ref="Y200:AD200"/>
    <mergeCell ref="AE200:AG200"/>
    <mergeCell ref="AH200:AJ200"/>
    <mergeCell ref="AK200:AN200"/>
    <mergeCell ref="AO200:AR200"/>
    <mergeCell ref="C197:E197"/>
    <mergeCell ref="F197:R197"/>
    <mergeCell ref="S197:U197"/>
    <mergeCell ref="V197:X197"/>
    <mergeCell ref="Y197:AD197"/>
    <mergeCell ref="AE197:AG197"/>
    <mergeCell ref="AH197:AJ197"/>
    <mergeCell ref="AK197:AN197"/>
    <mergeCell ref="AO197:AR197"/>
    <mergeCell ref="C198:E198"/>
    <mergeCell ref="F198:R198"/>
    <mergeCell ref="S198:U198"/>
    <mergeCell ref="V198:X198"/>
    <mergeCell ref="Y198:AD198"/>
    <mergeCell ref="AE198:AG198"/>
    <mergeCell ref="AH198:AJ198"/>
    <mergeCell ref="AK198:AN198"/>
    <mergeCell ref="AO198:AR198"/>
    <mergeCell ref="C195:E195"/>
    <mergeCell ref="F195:R195"/>
    <mergeCell ref="S195:U195"/>
    <mergeCell ref="V195:X195"/>
    <mergeCell ref="Y195:AD195"/>
    <mergeCell ref="AE195:AG195"/>
    <mergeCell ref="AH195:AJ195"/>
    <mergeCell ref="AK195:AN195"/>
    <mergeCell ref="AO195:AR195"/>
    <mergeCell ref="C196:E196"/>
    <mergeCell ref="F196:R196"/>
    <mergeCell ref="S196:U196"/>
    <mergeCell ref="V196:X196"/>
    <mergeCell ref="Y196:AD196"/>
    <mergeCell ref="AE196:AG196"/>
    <mergeCell ref="AH196:AJ196"/>
    <mergeCell ref="AK196:AN196"/>
    <mergeCell ref="AO196:AR196"/>
    <mergeCell ref="C189:E189"/>
    <mergeCell ref="F189:AB189"/>
    <mergeCell ref="AC189:AF189"/>
    <mergeCell ref="AG189:AJ189"/>
    <mergeCell ref="AK189:AN189"/>
    <mergeCell ref="AO189:AR189"/>
    <mergeCell ref="C190:E190"/>
    <mergeCell ref="F190:AB190"/>
    <mergeCell ref="AC190:AF190"/>
    <mergeCell ref="AG190:AJ190"/>
    <mergeCell ref="AK190:AN190"/>
    <mergeCell ref="AO190:AR190"/>
    <mergeCell ref="C191:X191"/>
    <mergeCell ref="Y191:AN191"/>
    <mergeCell ref="AO191:AR191"/>
    <mergeCell ref="C193:E194"/>
    <mergeCell ref="F193:R194"/>
    <mergeCell ref="S193:U194"/>
    <mergeCell ref="V193:X194"/>
    <mergeCell ref="Y193:AD194"/>
    <mergeCell ref="AE193:AG194"/>
    <mergeCell ref="AH193:AJ194"/>
    <mergeCell ref="AK193:AN194"/>
    <mergeCell ref="AO193:AR194"/>
    <mergeCell ref="C186:E186"/>
    <mergeCell ref="F186:AB186"/>
    <mergeCell ref="AC186:AF186"/>
    <mergeCell ref="AG186:AJ186"/>
    <mergeCell ref="AK186:AN186"/>
    <mergeCell ref="AO186:AR186"/>
    <mergeCell ref="C187:E187"/>
    <mergeCell ref="F187:AB187"/>
    <mergeCell ref="AC187:AF187"/>
    <mergeCell ref="AG187:AJ187"/>
    <mergeCell ref="AK187:AN187"/>
    <mergeCell ref="AO187:AR187"/>
    <mergeCell ref="C188:E188"/>
    <mergeCell ref="F188:AB188"/>
    <mergeCell ref="AC188:AF188"/>
    <mergeCell ref="AG188:AJ188"/>
    <mergeCell ref="AK188:AN188"/>
    <mergeCell ref="AO188:AR188"/>
    <mergeCell ref="C183:E183"/>
    <mergeCell ref="F183:AB183"/>
    <mergeCell ref="AC183:AF183"/>
    <mergeCell ref="AG183:AJ183"/>
    <mergeCell ref="AK183:AN183"/>
    <mergeCell ref="AO183:AR183"/>
    <mergeCell ref="C184:E184"/>
    <mergeCell ref="F184:AB184"/>
    <mergeCell ref="AC184:AF184"/>
    <mergeCell ref="AG184:AJ184"/>
    <mergeCell ref="AK184:AN184"/>
    <mergeCell ref="AO184:AR184"/>
    <mergeCell ref="C185:E185"/>
    <mergeCell ref="F185:AB185"/>
    <mergeCell ref="AC185:AF185"/>
    <mergeCell ref="AG185:AJ185"/>
    <mergeCell ref="AK185:AN185"/>
    <mergeCell ref="AO185:AR185"/>
    <mergeCell ref="C176:X176"/>
    <mergeCell ref="Y176:AN176"/>
    <mergeCell ref="AO176:AR176"/>
    <mergeCell ref="C178:X178"/>
    <mergeCell ref="Y178:AN178"/>
    <mergeCell ref="AO178:AR178"/>
    <mergeCell ref="C179:P179"/>
    <mergeCell ref="Q179:U179"/>
    <mergeCell ref="V179:X179"/>
    <mergeCell ref="Y179:AN179"/>
    <mergeCell ref="AO179:AR179"/>
    <mergeCell ref="C181:E182"/>
    <mergeCell ref="F181:AB182"/>
    <mergeCell ref="AC181:AF182"/>
    <mergeCell ref="AG181:AJ182"/>
    <mergeCell ref="AK181:AN182"/>
    <mergeCell ref="AO181:AR182"/>
    <mergeCell ref="C173:E173"/>
    <mergeCell ref="F173:AB173"/>
    <mergeCell ref="AC173:AF173"/>
    <mergeCell ref="AG173:AJ173"/>
    <mergeCell ref="AK173:AN173"/>
    <mergeCell ref="AO173:AR173"/>
    <mergeCell ref="C174:E174"/>
    <mergeCell ref="F174:AB174"/>
    <mergeCell ref="AC174:AF174"/>
    <mergeCell ref="AG174:AJ174"/>
    <mergeCell ref="AK174:AN174"/>
    <mergeCell ref="AO174:AR174"/>
    <mergeCell ref="C175:X175"/>
    <mergeCell ref="Y175:AF175"/>
    <mergeCell ref="AG175:AJ175"/>
    <mergeCell ref="AK175:AN175"/>
    <mergeCell ref="AO175:AR175"/>
    <mergeCell ref="C170:E170"/>
    <mergeCell ref="F170:AB170"/>
    <mergeCell ref="AC170:AF170"/>
    <mergeCell ref="AG170:AJ170"/>
    <mergeCell ref="AK170:AN170"/>
    <mergeCell ref="AO170:AR170"/>
    <mergeCell ref="C171:E171"/>
    <mergeCell ref="F171:AB171"/>
    <mergeCell ref="AC171:AF171"/>
    <mergeCell ref="AG171:AJ171"/>
    <mergeCell ref="AK171:AN171"/>
    <mergeCell ref="AO171:AR171"/>
    <mergeCell ref="C172:E172"/>
    <mergeCell ref="F172:AB172"/>
    <mergeCell ref="AC172:AF172"/>
    <mergeCell ref="AG172:AJ172"/>
    <mergeCell ref="AK172:AN172"/>
    <mergeCell ref="AO172:AR172"/>
    <mergeCell ref="C167:E167"/>
    <mergeCell ref="F167:AB167"/>
    <mergeCell ref="AC167:AF167"/>
    <mergeCell ref="AG167:AJ167"/>
    <mergeCell ref="AK167:AN167"/>
    <mergeCell ref="AO167:AR167"/>
    <mergeCell ref="C168:E168"/>
    <mergeCell ref="F168:AB168"/>
    <mergeCell ref="AC168:AF168"/>
    <mergeCell ref="AG168:AJ168"/>
    <mergeCell ref="AK168:AN168"/>
    <mergeCell ref="AO168:AR168"/>
    <mergeCell ref="C169:E169"/>
    <mergeCell ref="F169:AB169"/>
    <mergeCell ref="AC169:AF169"/>
    <mergeCell ref="AG169:AJ169"/>
    <mergeCell ref="AK169:AN169"/>
    <mergeCell ref="AO169:AR169"/>
    <mergeCell ref="C162:E162"/>
    <mergeCell ref="F162:U162"/>
    <mergeCell ref="V162:X162"/>
    <mergeCell ref="Y162:AB162"/>
    <mergeCell ref="AC162:AF162"/>
    <mergeCell ref="AG162:AJ162"/>
    <mergeCell ref="AK162:AN162"/>
    <mergeCell ref="AO162:AR162"/>
    <mergeCell ref="C163:X163"/>
    <mergeCell ref="Y163:AN163"/>
    <mergeCell ref="AO163:AR163"/>
    <mergeCell ref="C165:E166"/>
    <mergeCell ref="F165:AB166"/>
    <mergeCell ref="AC165:AF166"/>
    <mergeCell ref="AG165:AJ166"/>
    <mergeCell ref="AK165:AN166"/>
    <mergeCell ref="AO165:AR166"/>
    <mergeCell ref="C159:E159"/>
    <mergeCell ref="F159:U159"/>
    <mergeCell ref="V159:X159"/>
    <mergeCell ref="Y159:AB159"/>
    <mergeCell ref="AC159:AF159"/>
    <mergeCell ref="AG159:AJ159"/>
    <mergeCell ref="AK159:AN159"/>
    <mergeCell ref="AO159:AR159"/>
    <mergeCell ref="C160:E160"/>
    <mergeCell ref="F160:U160"/>
    <mergeCell ref="V160:X160"/>
    <mergeCell ref="Y160:AB160"/>
    <mergeCell ref="AC160:AF160"/>
    <mergeCell ref="AG160:AJ160"/>
    <mergeCell ref="AK160:AN160"/>
    <mergeCell ref="AO160:AR160"/>
    <mergeCell ref="C161:E161"/>
    <mergeCell ref="F161:U161"/>
    <mergeCell ref="V161:X161"/>
    <mergeCell ref="Y161:AB161"/>
    <mergeCell ref="AC161:AF161"/>
    <mergeCell ref="AG161:AJ161"/>
    <mergeCell ref="AK161:AN161"/>
    <mergeCell ref="AO161:AR161"/>
    <mergeCell ref="C156:E156"/>
    <mergeCell ref="F156:U156"/>
    <mergeCell ref="V156:X156"/>
    <mergeCell ref="Y156:AB156"/>
    <mergeCell ref="AC156:AF156"/>
    <mergeCell ref="AG156:AJ156"/>
    <mergeCell ref="AK156:AN156"/>
    <mergeCell ref="AO156:AR156"/>
    <mergeCell ref="C157:E157"/>
    <mergeCell ref="F157:U157"/>
    <mergeCell ref="V157:X157"/>
    <mergeCell ref="Y157:AB157"/>
    <mergeCell ref="AC157:AF157"/>
    <mergeCell ref="AG157:AJ157"/>
    <mergeCell ref="AK157:AN157"/>
    <mergeCell ref="AO157:AR157"/>
    <mergeCell ref="C158:E158"/>
    <mergeCell ref="F158:U158"/>
    <mergeCell ref="V158:X158"/>
    <mergeCell ref="Y158:AB158"/>
    <mergeCell ref="AC158:AF158"/>
    <mergeCell ref="AG158:AJ158"/>
    <mergeCell ref="AK158:AN158"/>
    <mergeCell ref="AO158:AR158"/>
    <mergeCell ref="C153:E154"/>
    <mergeCell ref="F153:U154"/>
    <mergeCell ref="V153:X154"/>
    <mergeCell ref="Y153:AF153"/>
    <mergeCell ref="AG153:AN153"/>
    <mergeCell ref="AO153:AR154"/>
    <mergeCell ref="Y154:AB154"/>
    <mergeCell ref="AC154:AF154"/>
    <mergeCell ref="AG154:AJ154"/>
    <mergeCell ref="AK154:AN154"/>
    <mergeCell ref="C155:E155"/>
    <mergeCell ref="F155:U155"/>
    <mergeCell ref="V155:X155"/>
    <mergeCell ref="Y155:AB155"/>
    <mergeCell ref="AC155:AF155"/>
    <mergeCell ref="AG155:AJ155"/>
    <mergeCell ref="AK155:AN155"/>
    <mergeCell ref="AO155:AR155"/>
    <mergeCell ref="C141:H141"/>
    <mergeCell ref="I141:J141"/>
    <mergeCell ref="K141:Z141"/>
    <mergeCell ref="AA141:AB141"/>
    <mergeCell ref="AC141:AR141"/>
    <mergeCell ref="C143:F143"/>
    <mergeCell ref="G143:AA143"/>
    <mergeCell ref="AB143:AI146"/>
    <mergeCell ref="AJ143:AR146"/>
    <mergeCell ref="C144:F144"/>
    <mergeCell ref="G144:AA144"/>
    <mergeCell ref="C145:F145"/>
    <mergeCell ref="G145:AA145"/>
    <mergeCell ref="C146:AA146"/>
    <mergeCell ref="C148:AR149"/>
    <mergeCell ref="C150:F151"/>
    <mergeCell ref="G150:J151"/>
    <mergeCell ref="K150:N151"/>
    <mergeCell ref="O150:AK151"/>
    <mergeCell ref="AL150:AO151"/>
    <mergeCell ref="AP150:AR151"/>
    <mergeCell ref="C137:H137"/>
    <mergeCell ref="I137:J137"/>
    <mergeCell ref="K137:Z137"/>
    <mergeCell ref="AA137:AB137"/>
    <mergeCell ref="AC137:AR137"/>
    <mergeCell ref="C138:H138"/>
    <mergeCell ref="I138:J138"/>
    <mergeCell ref="K138:Z138"/>
    <mergeCell ref="AA138:AB138"/>
    <mergeCell ref="AC138:AR138"/>
    <mergeCell ref="C139:H139"/>
    <mergeCell ref="I139:J139"/>
    <mergeCell ref="K139:Z139"/>
    <mergeCell ref="AA139:AB139"/>
    <mergeCell ref="AC139:AR139"/>
    <mergeCell ref="C140:H140"/>
    <mergeCell ref="I140:J140"/>
    <mergeCell ref="K140:Z140"/>
    <mergeCell ref="AA140:AB140"/>
    <mergeCell ref="AC140:AR140"/>
    <mergeCell ref="C130:X130"/>
    <mergeCell ref="Y130:AN130"/>
    <mergeCell ref="AO130:AR130"/>
    <mergeCell ref="C132:X134"/>
    <mergeCell ref="Y132:AN132"/>
    <mergeCell ref="AO132:AR132"/>
    <mergeCell ref="Y133:AG133"/>
    <mergeCell ref="AH133:AN133"/>
    <mergeCell ref="AO133:AR133"/>
    <mergeCell ref="A134:B134"/>
    <mergeCell ref="Y134:AN134"/>
    <mergeCell ref="AO134:AR134"/>
    <mergeCell ref="C136:H136"/>
    <mergeCell ref="I136:J136"/>
    <mergeCell ref="K136:Z136"/>
    <mergeCell ref="AA136:AB136"/>
    <mergeCell ref="AC136:AR136"/>
    <mergeCell ref="C128:E128"/>
    <mergeCell ref="F128:R128"/>
    <mergeCell ref="S128:U128"/>
    <mergeCell ref="V128:X128"/>
    <mergeCell ref="Y128:AD128"/>
    <mergeCell ref="AE128:AG128"/>
    <mergeCell ref="AH128:AJ128"/>
    <mergeCell ref="AK128:AN128"/>
    <mergeCell ref="AO128:AR128"/>
    <mergeCell ref="C129:E129"/>
    <mergeCell ref="F129:R129"/>
    <mergeCell ref="S129:U129"/>
    <mergeCell ref="V129:X129"/>
    <mergeCell ref="Y129:AD129"/>
    <mergeCell ref="AE129:AG129"/>
    <mergeCell ref="AH129:AJ129"/>
    <mergeCell ref="AK129:AN129"/>
    <mergeCell ref="AO129:AR129"/>
    <mergeCell ref="C126:E126"/>
    <mergeCell ref="F126:R126"/>
    <mergeCell ref="S126:U126"/>
    <mergeCell ref="V126:X126"/>
    <mergeCell ref="Y126:AD126"/>
    <mergeCell ref="AE126:AG126"/>
    <mergeCell ref="AH126:AJ126"/>
    <mergeCell ref="AK126:AN126"/>
    <mergeCell ref="AO126:AR126"/>
    <mergeCell ref="C127:E127"/>
    <mergeCell ref="F127:R127"/>
    <mergeCell ref="S127:U127"/>
    <mergeCell ref="V127:X127"/>
    <mergeCell ref="Y127:AD127"/>
    <mergeCell ref="AE127:AG127"/>
    <mergeCell ref="AH127:AJ127"/>
    <mergeCell ref="AK127:AN127"/>
    <mergeCell ref="AO127:AR127"/>
    <mergeCell ref="C124:E124"/>
    <mergeCell ref="F124:R124"/>
    <mergeCell ref="S124:U124"/>
    <mergeCell ref="V124:X124"/>
    <mergeCell ref="Y124:AD124"/>
    <mergeCell ref="AE124:AG124"/>
    <mergeCell ref="AH124:AJ124"/>
    <mergeCell ref="AK124:AN124"/>
    <mergeCell ref="AO124:AR124"/>
    <mergeCell ref="C125:E125"/>
    <mergeCell ref="F125:R125"/>
    <mergeCell ref="S125:U125"/>
    <mergeCell ref="V125:X125"/>
    <mergeCell ref="Y125:AD125"/>
    <mergeCell ref="AE125:AG125"/>
    <mergeCell ref="AH125:AJ125"/>
    <mergeCell ref="AK125:AN125"/>
    <mergeCell ref="AO125:AR125"/>
    <mergeCell ref="C122:E122"/>
    <mergeCell ref="F122:R122"/>
    <mergeCell ref="S122:U122"/>
    <mergeCell ref="V122:X122"/>
    <mergeCell ref="Y122:AD122"/>
    <mergeCell ref="AE122:AG122"/>
    <mergeCell ref="AH122:AJ122"/>
    <mergeCell ref="AK122:AN122"/>
    <mergeCell ref="AO122:AR122"/>
    <mergeCell ref="C123:E123"/>
    <mergeCell ref="F123:R123"/>
    <mergeCell ref="S123:U123"/>
    <mergeCell ref="V123:X123"/>
    <mergeCell ref="Y123:AD123"/>
    <mergeCell ref="AE123:AG123"/>
    <mergeCell ref="AH123:AJ123"/>
    <mergeCell ref="AK123:AN123"/>
    <mergeCell ref="AO123:AR123"/>
    <mergeCell ref="C116:E116"/>
    <mergeCell ref="F116:AB116"/>
    <mergeCell ref="AC116:AF116"/>
    <mergeCell ref="AG116:AJ116"/>
    <mergeCell ref="AK116:AN116"/>
    <mergeCell ref="AO116:AR116"/>
    <mergeCell ref="C117:E117"/>
    <mergeCell ref="F117:AB117"/>
    <mergeCell ref="AC117:AF117"/>
    <mergeCell ref="AG117:AJ117"/>
    <mergeCell ref="AK117:AN117"/>
    <mergeCell ref="AO117:AR117"/>
    <mergeCell ref="C118:X118"/>
    <mergeCell ref="Y118:AN118"/>
    <mergeCell ref="AO118:AR118"/>
    <mergeCell ref="C120:E121"/>
    <mergeCell ref="F120:R121"/>
    <mergeCell ref="S120:U121"/>
    <mergeCell ref="V120:X121"/>
    <mergeCell ref="Y120:AD121"/>
    <mergeCell ref="AE120:AG121"/>
    <mergeCell ref="AH120:AJ121"/>
    <mergeCell ref="AK120:AN121"/>
    <mergeCell ref="AO120:AR121"/>
    <mergeCell ref="C113:E113"/>
    <mergeCell ref="F113:AB113"/>
    <mergeCell ref="AC113:AF113"/>
    <mergeCell ref="AG113:AJ113"/>
    <mergeCell ref="AK113:AN113"/>
    <mergeCell ref="AO113:AR113"/>
    <mergeCell ref="C114:E114"/>
    <mergeCell ref="F114:AB114"/>
    <mergeCell ref="AC114:AF114"/>
    <mergeCell ref="AG114:AJ114"/>
    <mergeCell ref="AK114:AN114"/>
    <mergeCell ref="AO114:AR114"/>
    <mergeCell ref="C115:E115"/>
    <mergeCell ref="F115:AB115"/>
    <mergeCell ref="AC115:AF115"/>
    <mergeCell ref="AG115:AJ115"/>
    <mergeCell ref="AK115:AN115"/>
    <mergeCell ref="AO115:AR115"/>
    <mergeCell ref="C110:E110"/>
    <mergeCell ref="F110:AB110"/>
    <mergeCell ref="AC110:AF110"/>
    <mergeCell ref="AG110:AJ110"/>
    <mergeCell ref="AK110:AN110"/>
    <mergeCell ref="AO110:AR110"/>
    <mergeCell ref="C111:E111"/>
    <mergeCell ref="F111:AB111"/>
    <mergeCell ref="AC111:AF111"/>
    <mergeCell ref="AG111:AJ111"/>
    <mergeCell ref="AK111:AN111"/>
    <mergeCell ref="AO111:AR111"/>
    <mergeCell ref="C112:E112"/>
    <mergeCell ref="F112:AB112"/>
    <mergeCell ref="AC112:AF112"/>
    <mergeCell ref="AG112:AJ112"/>
    <mergeCell ref="AK112:AN112"/>
    <mergeCell ref="AO112:AR112"/>
    <mergeCell ref="C102:X102"/>
    <mergeCell ref="Y102:AF102"/>
    <mergeCell ref="AG102:AJ102"/>
    <mergeCell ref="AK102:AN102"/>
    <mergeCell ref="AO102:AR102"/>
    <mergeCell ref="C103:X103"/>
    <mergeCell ref="Y103:AN103"/>
    <mergeCell ref="AO103:AR103"/>
    <mergeCell ref="C105:X105"/>
    <mergeCell ref="Y105:AN105"/>
    <mergeCell ref="AO105:AR105"/>
    <mergeCell ref="C106:P106"/>
    <mergeCell ref="Q106:U106"/>
    <mergeCell ref="V106:X106"/>
    <mergeCell ref="Y106:AN106"/>
    <mergeCell ref="AO106:AR106"/>
    <mergeCell ref="C108:E109"/>
    <mergeCell ref="F108:AB109"/>
    <mergeCell ref="AC108:AF109"/>
    <mergeCell ref="AG108:AJ109"/>
    <mergeCell ref="AK108:AN109"/>
    <mergeCell ref="AO108:AR109"/>
    <mergeCell ref="C99:E99"/>
    <mergeCell ref="F99:AB99"/>
    <mergeCell ref="AC99:AF99"/>
    <mergeCell ref="AG99:AJ99"/>
    <mergeCell ref="AK99:AN99"/>
    <mergeCell ref="AO99:AR99"/>
    <mergeCell ref="C100:E100"/>
    <mergeCell ref="F100:AB100"/>
    <mergeCell ref="AC100:AF100"/>
    <mergeCell ref="AG100:AJ100"/>
    <mergeCell ref="AK100:AN100"/>
    <mergeCell ref="AO100:AR100"/>
    <mergeCell ref="C101:E101"/>
    <mergeCell ref="F101:AB101"/>
    <mergeCell ref="AC101:AF101"/>
    <mergeCell ref="AG101:AJ101"/>
    <mergeCell ref="AK101:AN101"/>
    <mergeCell ref="AO101:AR101"/>
    <mergeCell ref="C96:E96"/>
    <mergeCell ref="F96:AB96"/>
    <mergeCell ref="AC96:AF96"/>
    <mergeCell ref="AG96:AJ96"/>
    <mergeCell ref="AK96:AN96"/>
    <mergeCell ref="AO96:AR96"/>
    <mergeCell ref="C97:E97"/>
    <mergeCell ref="F97:AB97"/>
    <mergeCell ref="AC97:AF97"/>
    <mergeCell ref="AG97:AJ97"/>
    <mergeCell ref="AK97:AN97"/>
    <mergeCell ref="AO97:AR97"/>
    <mergeCell ref="C98:E98"/>
    <mergeCell ref="F98:AB98"/>
    <mergeCell ref="AC98:AF98"/>
    <mergeCell ref="AG98:AJ98"/>
    <mergeCell ref="AK98:AN98"/>
    <mergeCell ref="AO98:AR98"/>
    <mergeCell ref="C90:X90"/>
    <mergeCell ref="Y90:AN90"/>
    <mergeCell ref="AO90:AR90"/>
    <mergeCell ref="C92:E93"/>
    <mergeCell ref="F92:AB93"/>
    <mergeCell ref="AC92:AF93"/>
    <mergeCell ref="AG92:AJ93"/>
    <mergeCell ref="AK92:AN93"/>
    <mergeCell ref="AO92:AR93"/>
    <mergeCell ref="C94:E94"/>
    <mergeCell ref="F94:AB94"/>
    <mergeCell ref="AC94:AF94"/>
    <mergeCell ref="AG94:AJ94"/>
    <mergeCell ref="AK94:AN94"/>
    <mergeCell ref="AO94:AR94"/>
    <mergeCell ref="C95:E95"/>
    <mergeCell ref="F95:AB95"/>
    <mergeCell ref="AC95:AF95"/>
    <mergeCell ref="AG95:AJ95"/>
    <mergeCell ref="AK95:AN95"/>
    <mergeCell ref="AO95:AR95"/>
    <mergeCell ref="C87:E87"/>
    <mergeCell ref="F87:U87"/>
    <mergeCell ref="V87:X87"/>
    <mergeCell ref="Y87:AB87"/>
    <mergeCell ref="AC87:AF87"/>
    <mergeCell ref="AG87:AJ87"/>
    <mergeCell ref="AK87:AN87"/>
    <mergeCell ref="AO87:AR87"/>
    <mergeCell ref="C88:E88"/>
    <mergeCell ref="F88:U88"/>
    <mergeCell ref="V88:X88"/>
    <mergeCell ref="Y88:AB88"/>
    <mergeCell ref="AC88:AF88"/>
    <mergeCell ref="AG88:AJ88"/>
    <mergeCell ref="AK88:AN88"/>
    <mergeCell ref="AO88:AR88"/>
    <mergeCell ref="C89:E89"/>
    <mergeCell ref="F89:U89"/>
    <mergeCell ref="V89:X89"/>
    <mergeCell ref="Y89:AB89"/>
    <mergeCell ref="AC89:AF89"/>
    <mergeCell ref="AG89:AJ89"/>
    <mergeCell ref="AK89:AN89"/>
    <mergeCell ref="AO89:AR89"/>
    <mergeCell ref="C84:E84"/>
    <mergeCell ref="F84:U84"/>
    <mergeCell ref="V84:X84"/>
    <mergeCell ref="Y84:AB84"/>
    <mergeCell ref="AC84:AF84"/>
    <mergeCell ref="AG84:AJ84"/>
    <mergeCell ref="AK84:AN84"/>
    <mergeCell ref="AO84:AR84"/>
    <mergeCell ref="C85:E85"/>
    <mergeCell ref="F85:U85"/>
    <mergeCell ref="V85:X85"/>
    <mergeCell ref="Y85:AB85"/>
    <mergeCell ref="AC85:AF85"/>
    <mergeCell ref="AG85:AJ85"/>
    <mergeCell ref="AK85:AN85"/>
    <mergeCell ref="AO85:AR85"/>
    <mergeCell ref="C86:E86"/>
    <mergeCell ref="F86:U86"/>
    <mergeCell ref="V86:X86"/>
    <mergeCell ref="Y86:AB86"/>
    <mergeCell ref="AC86:AF86"/>
    <mergeCell ref="AG86:AJ86"/>
    <mergeCell ref="AK86:AN86"/>
    <mergeCell ref="AO86:AR86"/>
    <mergeCell ref="AG81:AJ81"/>
    <mergeCell ref="AK81:AN81"/>
    <mergeCell ref="C82:E82"/>
    <mergeCell ref="F82:U82"/>
    <mergeCell ref="V82:X82"/>
    <mergeCell ref="Y82:AB82"/>
    <mergeCell ref="AC82:AF82"/>
    <mergeCell ref="AG82:AJ82"/>
    <mergeCell ref="AK82:AN82"/>
    <mergeCell ref="AO82:AR82"/>
    <mergeCell ref="C83:E83"/>
    <mergeCell ref="F83:U83"/>
    <mergeCell ref="V83:X83"/>
    <mergeCell ref="Y83:AB83"/>
    <mergeCell ref="AC83:AF83"/>
    <mergeCell ref="AG83:AJ83"/>
    <mergeCell ref="AK83:AN83"/>
    <mergeCell ref="AO83:AR83"/>
    <mergeCell ref="C68:H68"/>
    <mergeCell ref="I68:J68"/>
    <mergeCell ref="K68:Z68"/>
    <mergeCell ref="AA68:AB68"/>
    <mergeCell ref="AC68:AR68"/>
    <mergeCell ref="C70:F70"/>
    <mergeCell ref="G70:AA70"/>
    <mergeCell ref="AB70:AI73"/>
    <mergeCell ref="AJ70:AR73"/>
    <mergeCell ref="C71:F71"/>
    <mergeCell ref="G71:AA71"/>
    <mergeCell ref="C72:F72"/>
    <mergeCell ref="G72:AA72"/>
    <mergeCell ref="C73:AA73"/>
    <mergeCell ref="C294:AR295"/>
    <mergeCell ref="C296:F297"/>
    <mergeCell ref="G296:J297"/>
    <mergeCell ref="C75:AR76"/>
    <mergeCell ref="C77:F78"/>
    <mergeCell ref="G77:J78"/>
    <mergeCell ref="K77:N78"/>
    <mergeCell ref="O77:AK78"/>
    <mergeCell ref="AL77:AO78"/>
    <mergeCell ref="AP77:AR78"/>
    <mergeCell ref="C80:E81"/>
    <mergeCell ref="F80:U81"/>
    <mergeCell ref="V80:X81"/>
    <mergeCell ref="Y80:AF80"/>
    <mergeCell ref="AG80:AN80"/>
    <mergeCell ref="AO80:AR81"/>
    <mergeCell ref="Y81:AB81"/>
    <mergeCell ref="AC81:AF81"/>
    <mergeCell ref="C64:H64"/>
    <mergeCell ref="I64:J64"/>
    <mergeCell ref="K64:Z64"/>
    <mergeCell ref="AA64:AB64"/>
    <mergeCell ref="AC64:AR64"/>
    <mergeCell ref="C65:H65"/>
    <mergeCell ref="I65:J65"/>
    <mergeCell ref="K65:Z65"/>
    <mergeCell ref="AA65:AB65"/>
    <mergeCell ref="AC65:AR65"/>
    <mergeCell ref="C66:H66"/>
    <mergeCell ref="I66:J66"/>
    <mergeCell ref="K66:Z66"/>
    <mergeCell ref="AA66:AB66"/>
    <mergeCell ref="AC66:AR66"/>
    <mergeCell ref="C67:H67"/>
    <mergeCell ref="I67:J67"/>
    <mergeCell ref="K67:Z67"/>
    <mergeCell ref="AA67:AB67"/>
    <mergeCell ref="AC67:AR67"/>
    <mergeCell ref="C57:X57"/>
    <mergeCell ref="Y57:AN57"/>
    <mergeCell ref="AO57:AR57"/>
    <mergeCell ref="C59:X61"/>
    <mergeCell ref="Y59:AN59"/>
    <mergeCell ref="AO59:AR59"/>
    <mergeCell ref="Y60:AG60"/>
    <mergeCell ref="AH60:AN60"/>
    <mergeCell ref="AO60:AR60"/>
    <mergeCell ref="A61:B61"/>
    <mergeCell ref="Y61:AN61"/>
    <mergeCell ref="AO61:AR61"/>
    <mergeCell ref="C63:H63"/>
    <mergeCell ref="I63:J63"/>
    <mergeCell ref="K63:Z63"/>
    <mergeCell ref="AA63:AB63"/>
    <mergeCell ref="AC63:AR63"/>
    <mergeCell ref="C55:E55"/>
    <mergeCell ref="F55:R55"/>
    <mergeCell ref="S55:U55"/>
    <mergeCell ref="V55:X55"/>
    <mergeCell ref="Y55:AD55"/>
    <mergeCell ref="AE55:AG55"/>
    <mergeCell ref="AH55:AJ55"/>
    <mergeCell ref="AK55:AN55"/>
    <mergeCell ref="AO55:AR55"/>
    <mergeCell ref="C56:E56"/>
    <mergeCell ref="F56:R56"/>
    <mergeCell ref="S56:U56"/>
    <mergeCell ref="V56:X56"/>
    <mergeCell ref="Y56:AD56"/>
    <mergeCell ref="AE56:AG56"/>
    <mergeCell ref="AH56:AJ56"/>
    <mergeCell ref="AK56:AN56"/>
    <mergeCell ref="AO56:AR56"/>
    <mergeCell ref="C53:E53"/>
    <mergeCell ref="F53:R53"/>
    <mergeCell ref="S53:U53"/>
    <mergeCell ref="V53:X53"/>
    <mergeCell ref="Y53:AD53"/>
    <mergeCell ref="AE53:AG53"/>
    <mergeCell ref="AH53:AJ53"/>
    <mergeCell ref="AK53:AN53"/>
    <mergeCell ref="AO53:AR53"/>
    <mergeCell ref="C54:E54"/>
    <mergeCell ref="F54:R54"/>
    <mergeCell ref="S54:U54"/>
    <mergeCell ref="V54:X54"/>
    <mergeCell ref="Y54:AD54"/>
    <mergeCell ref="AE54:AG54"/>
    <mergeCell ref="AH54:AJ54"/>
    <mergeCell ref="AK54:AN54"/>
    <mergeCell ref="AO54:AR54"/>
    <mergeCell ref="C51:E51"/>
    <mergeCell ref="F51:R51"/>
    <mergeCell ref="S51:U51"/>
    <mergeCell ref="V51:X51"/>
    <mergeCell ref="Y51:AD51"/>
    <mergeCell ref="AE51:AG51"/>
    <mergeCell ref="AH51:AJ51"/>
    <mergeCell ref="AK51:AN51"/>
    <mergeCell ref="AO51:AR51"/>
    <mergeCell ref="C52:E52"/>
    <mergeCell ref="F52:R52"/>
    <mergeCell ref="S52:U52"/>
    <mergeCell ref="V52:X52"/>
    <mergeCell ref="Y52:AD52"/>
    <mergeCell ref="AE52:AG52"/>
    <mergeCell ref="AH52:AJ52"/>
    <mergeCell ref="AK52:AN52"/>
    <mergeCell ref="AO52:AR52"/>
    <mergeCell ref="C49:E49"/>
    <mergeCell ref="F49:R49"/>
    <mergeCell ref="S49:U49"/>
    <mergeCell ref="V49:X49"/>
    <mergeCell ref="Y49:AD49"/>
    <mergeCell ref="AE49:AG49"/>
    <mergeCell ref="AH49:AJ49"/>
    <mergeCell ref="AK49:AN49"/>
    <mergeCell ref="AO49:AR49"/>
    <mergeCell ref="C50:E50"/>
    <mergeCell ref="F50:R50"/>
    <mergeCell ref="S50:U50"/>
    <mergeCell ref="V50:X50"/>
    <mergeCell ref="Y50:AD50"/>
    <mergeCell ref="AE50:AG50"/>
    <mergeCell ref="AH50:AJ50"/>
    <mergeCell ref="AK50:AN50"/>
    <mergeCell ref="AO50:AR50"/>
    <mergeCell ref="C43:E43"/>
    <mergeCell ref="F43:AB43"/>
    <mergeCell ref="AC43:AF43"/>
    <mergeCell ref="AG43:AJ43"/>
    <mergeCell ref="AK43:AN43"/>
    <mergeCell ref="AO43:AR43"/>
    <mergeCell ref="C44:E44"/>
    <mergeCell ref="F44:AB44"/>
    <mergeCell ref="AC44:AF44"/>
    <mergeCell ref="AG44:AJ44"/>
    <mergeCell ref="AK44:AN44"/>
    <mergeCell ref="AO44:AR44"/>
    <mergeCell ref="C45:X45"/>
    <mergeCell ref="Y45:AN45"/>
    <mergeCell ref="AO45:AR45"/>
    <mergeCell ref="C47:E48"/>
    <mergeCell ref="F47:R48"/>
    <mergeCell ref="S47:U48"/>
    <mergeCell ref="V47:X48"/>
    <mergeCell ref="Y47:AD48"/>
    <mergeCell ref="AE47:AG48"/>
    <mergeCell ref="AH47:AJ48"/>
    <mergeCell ref="AK47:AN48"/>
    <mergeCell ref="AO47:AR48"/>
    <mergeCell ref="C40:E40"/>
    <mergeCell ref="F40:AB40"/>
    <mergeCell ref="AC40:AF40"/>
    <mergeCell ref="AG40:AJ40"/>
    <mergeCell ref="AK40:AN40"/>
    <mergeCell ref="AO40:AR40"/>
    <mergeCell ref="C41:E41"/>
    <mergeCell ref="F41:AB41"/>
    <mergeCell ref="AC41:AF41"/>
    <mergeCell ref="AG41:AJ41"/>
    <mergeCell ref="AK41:AN41"/>
    <mergeCell ref="AO41:AR41"/>
    <mergeCell ref="C42:E42"/>
    <mergeCell ref="F42:AB42"/>
    <mergeCell ref="AC42:AF42"/>
    <mergeCell ref="AG42:AJ42"/>
    <mergeCell ref="AK42:AN42"/>
    <mergeCell ref="AO42:AR42"/>
    <mergeCell ref="C37:E37"/>
    <mergeCell ref="F37:AB37"/>
    <mergeCell ref="AC37:AF37"/>
    <mergeCell ref="AG37:AJ37"/>
    <mergeCell ref="AK37:AN37"/>
    <mergeCell ref="AO37:AR37"/>
    <mergeCell ref="C38:E38"/>
    <mergeCell ref="F38:AB38"/>
    <mergeCell ref="AC38:AF38"/>
    <mergeCell ref="AG38:AJ38"/>
    <mergeCell ref="AK38:AN38"/>
    <mergeCell ref="AO38:AR38"/>
    <mergeCell ref="C39:E39"/>
    <mergeCell ref="F39:AB39"/>
    <mergeCell ref="AC39:AF39"/>
    <mergeCell ref="AG39:AJ39"/>
    <mergeCell ref="AK39:AN39"/>
    <mergeCell ref="AO39:AR39"/>
    <mergeCell ref="C29:X29"/>
    <mergeCell ref="Y29:AF29"/>
    <mergeCell ref="AG29:AJ29"/>
    <mergeCell ref="AK29:AN29"/>
    <mergeCell ref="AO29:AR29"/>
    <mergeCell ref="C30:X30"/>
    <mergeCell ref="Y30:AN30"/>
    <mergeCell ref="AO30:AR30"/>
    <mergeCell ref="C32:X32"/>
    <mergeCell ref="Y32:AN32"/>
    <mergeCell ref="AO32:AR32"/>
    <mergeCell ref="C33:P33"/>
    <mergeCell ref="Q33:U33"/>
    <mergeCell ref="V33:X33"/>
    <mergeCell ref="Y33:AN33"/>
    <mergeCell ref="AO33:AR33"/>
    <mergeCell ref="C35:E36"/>
    <mergeCell ref="F35:AB36"/>
    <mergeCell ref="AC35:AF36"/>
    <mergeCell ref="AG35:AJ36"/>
    <mergeCell ref="AK35:AN36"/>
    <mergeCell ref="AO35:AR36"/>
    <mergeCell ref="C26:E26"/>
    <mergeCell ref="F26:AB26"/>
    <mergeCell ref="AC26:AF26"/>
    <mergeCell ref="AG26:AJ26"/>
    <mergeCell ref="AK26:AN26"/>
    <mergeCell ref="AO26:AR26"/>
    <mergeCell ref="C27:E27"/>
    <mergeCell ref="F27:AB27"/>
    <mergeCell ref="AC27:AF27"/>
    <mergeCell ref="AG27:AJ27"/>
    <mergeCell ref="AK27:AN27"/>
    <mergeCell ref="AO27:AR27"/>
    <mergeCell ref="C28:E28"/>
    <mergeCell ref="F28:AB28"/>
    <mergeCell ref="AC28:AF28"/>
    <mergeCell ref="AG28:AJ28"/>
    <mergeCell ref="AK28:AN28"/>
    <mergeCell ref="AO28:AR28"/>
    <mergeCell ref="C23:E23"/>
    <mergeCell ref="F23:AB23"/>
    <mergeCell ref="AC23:AF23"/>
    <mergeCell ref="AG23:AJ23"/>
    <mergeCell ref="AK23:AN23"/>
    <mergeCell ref="AO23:AR23"/>
    <mergeCell ref="C24:E24"/>
    <mergeCell ref="F24:AB24"/>
    <mergeCell ref="AC24:AF24"/>
    <mergeCell ref="AG24:AJ24"/>
    <mergeCell ref="AK24:AN24"/>
    <mergeCell ref="AO24:AR24"/>
    <mergeCell ref="C25:E25"/>
    <mergeCell ref="F25:AB25"/>
    <mergeCell ref="AC25:AF25"/>
    <mergeCell ref="AG25:AJ25"/>
    <mergeCell ref="AK25:AN25"/>
    <mergeCell ref="AO25:AR25"/>
    <mergeCell ref="C19:E20"/>
    <mergeCell ref="F19:AB20"/>
    <mergeCell ref="AC19:AF20"/>
    <mergeCell ref="AG19:AJ20"/>
    <mergeCell ref="AK19:AN20"/>
    <mergeCell ref="AO19:AR20"/>
    <mergeCell ref="C21:E21"/>
    <mergeCell ref="F21:AB21"/>
    <mergeCell ref="AC21:AF21"/>
    <mergeCell ref="AG21:AJ21"/>
    <mergeCell ref="AK21:AN21"/>
    <mergeCell ref="AO21:AR21"/>
    <mergeCell ref="C22:E22"/>
    <mergeCell ref="F22:AB22"/>
    <mergeCell ref="AC22:AF22"/>
    <mergeCell ref="AG22:AJ22"/>
    <mergeCell ref="AK22:AN22"/>
    <mergeCell ref="AO22:AR22"/>
    <mergeCell ref="C15:E15"/>
    <mergeCell ref="F15:U15"/>
    <mergeCell ref="V15:X15"/>
    <mergeCell ref="Y15:AB15"/>
    <mergeCell ref="AC15:AF15"/>
    <mergeCell ref="AG15:AJ15"/>
    <mergeCell ref="AK15:AN15"/>
    <mergeCell ref="AO15:AR15"/>
    <mergeCell ref="C16:E16"/>
    <mergeCell ref="F16:U16"/>
    <mergeCell ref="V16:X16"/>
    <mergeCell ref="Y16:AB16"/>
    <mergeCell ref="AC16:AF16"/>
    <mergeCell ref="AG16:AJ16"/>
    <mergeCell ref="AK16:AN16"/>
    <mergeCell ref="AO16:AR16"/>
    <mergeCell ref="C17:X17"/>
    <mergeCell ref="Y17:AN17"/>
    <mergeCell ref="AO17:AR17"/>
    <mergeCell ref="C12:E12"/>
    <mergeCell ref="F12:U12"/>
    <mergeCell ref="V12:X12"/>
    <mergeCell ref="Y12:AB12"/>
    <mergeCell ref="AC12:AF12"/>
    <mergeCell ref="AG12:AJ12"/>
    <mergeCell ref="AK12:AN12"/>
    <mergeCell ref="AO12:AR12"/>
    <mergeCell ref="C13:E13"/>
    <mergeCell ref="F13:U13"/>
    <mergeCell ref="V13:X13"/>
    <mergeCell ref="Y13:AB13"/>
    <mergeCell ref="AC13:AF13"/>
    <mergeCell ref="AG13:AJ13"/>
    <mergeCell ref="AK13:AN13"/>
    <mergeCell ref="AO13:AR13"/>
    <mergeCell ref="C14:E14"/>
    <mergeCell ref="F14:U14"/>
    <mergeCell ref="V14:X14"/>
    <mergeCell ref="Y14:AB14"/>
    <mergeCell ref="AC14:AF14"/>
    <mergeCell ref="AG14:AJ14"/>
    <mergeCell ref="AK14:AN14"/>
    <mergeCell ref="AO14:AR14"/>
    <mergeCell ref="C9:E9"/>
    <mergeCell ref="F9:U9"/>
    <mergeCell ref="V9:X9"/>
    <mergeCell ref="Y9:AB9"/>
    <mergeCell ref="AC9:AF9"/>
    <mergeCell ref="AG9:AJ9"/>
    <mergeCell ref="AK9:AN9"/>
    <mergeCell ref="AO9:AR9"/>
    <mergeCell ref="C10:E10"/>
    <mergeCell ref="F10:U10"/>
    <mergeCell ref="V10:X10"/>
    <mergeCell ref="Y10:AB10"/>
    <mergeCell ref="AC10:AF10"/>
    <mergeCell ref="AG10:AJ10"/>
    <mergeCell ref="AK10:AN10"/>
    <mergeCell ref="AO10:AR10"/>
    <mergeCell ref="C11:E11"/>
    <mergeCell ref="F11:U11"/>
    <mergeCell ref="V11:X11"/>
    <mergeCell ref="Y11:AB11"/>
    <mergeCell ref="AC11:AF11"/>
    <mergeCell ref="AG11:AJ11"/>
    <mergeCell ref="AK11:AN11"/>
    <mergeCell ref="AO11:AR11"/>
    <mergeCell ref="C2:AR3"/>
    <mergeCell ref="C4:F5"/>
    <mergeCell ref="G4:J5"/>
    <mergeCell ref="K4:N5"/>
    <mergeCell ref="O4:AK5"/>
    <mergeCell ref="AL4:AO5"/>
    <mergeCell ref="AP4:AR5"/>
    <mergeCell ref="C7:E8"/>
    <mergeCell ref="F7:U8"/>
    <mergeCell ref="V7:X8"/>
    <mergeCell ref="Y7:AF7"/>
    <mergeCell ref="AG7:AN7"/>
    <mergeCell ref="AO7:AR8"/>
    <mergeCell ref="Y8:AB8"/>
    <mergeCell ref="AC8:AF8"/>
    <mergeCell ref="AG8:AJ8"/>
    <mergeCell ref="AK8:AN8"/>
    <mergeCell ref="Y300:AB300"/>
    <mergeCell ref="AC300:AF300"/>
    <mergeCell ref="AG300:AJ300"/>
    <mergeCell ref="AK300:AN300"/>
    <mergeCell ref="C301:E301"/>
    <mergeCell ref="F301:U301"/>
    <mergeCell ref="V301:X301"/>
    <mergeCell ref="Y301:AB301"/>
    <mergeCell ref="AC301:AF301"/>
    <mergeCell ref="AG301:AJ301"/>
    <mergeCell ref="K296:N297"/>
    <mergeCell ref="O296:AK297"/>
    <mergeCell ref="AL296:AO297"/>
    <mergeCell ref="AP296:AR297"/>
    <mergeCell ref="C299:E300"/>
    <mergeCell ref="F299:U300"/>
    <mergeCell ref="V299:X300"/>
    <mergeCell ref="Y299:AF299"/>
    <mergeCell ref="AG299:AN299"/>
    <mergeCell ref="AO299:AR300"/>
    <mergeCell ref="AK303:AN303"/>
    <mergeCell ref="AO303:AR303"/>
    <mergeCell ref="C304:E304"/>
    <mergeCell ref="F304:U304"/>
    <mergeCell ref="V304:X304"/>
    <mergeCell ref="Y304:AB304"/>
    <mergeCell ref="AC304:AF304"/>
    <mergeCell ref="AG304:AJ304"/>
    <mergeCell ref="AK304:AN304"/>
    <mergeCell ref="AO304:AR304"/>
    <mergeCell ref="C303:E303"/>
    <mergeCell ref="F303:U303"/>
    <mergeCell ref="V303:X303"/>
    <mergeCell ref="Y303:AB303"/>
    <mergeCell ref="AC303:AF303"/>
    <mergeCell ref="AG303:AJ303"/>
    <mergeCell ref="AK301:AN301"/>
    <mergeCell ref="AO301:AR301"/>
    <mergeCell ref="C302:E302"/>
    <mergeCell ref="F302:U302"/>
    <mergeCell ref="V302:X302"/>
    <mergeCell ref="Y302:AB302"/>
    <mergeCell ref="AC302:AF302"/>
    <mergeCell ref="AG302:AJ302"/>
    <mergeCell ref="AK302:AN302"/>
    <mergeCell ref="AO302:AR302"/>
    <mergeCell ref="AK307:AN307"/>
    <mergeCell ref="AO307:AR307"/>
    <mergeCell ref="C308:E308"/>
    <mergeCell ref="F308:U308"/>
    <mergeCell ref="V308:X308"/>
    <mergeCell ref="Y308:AB308"/>
    <mergeCell ref="AC308:AF308"/>
    <mergeCell ref="AG308:AJ308"/>
    <mergeCell ref="AK308:AN308"/>
    <mergeCell ref="AO308:AR308"/>
    <mergeCell ref="C307:E307"/>
    <mergeCell ref="F307:U307"/>
    <mergeCell ref="V307:X307"/>
    <mergeCell ref="Y307:AB307"/>
    <mergeCell ref="AC307:AF307"/>
    <mergeCell ref="AG307:AJ307"/>
    <mergeCell ref="AK305:AN305"/>
    <mergeCell ref="AO305:AR305"/>
    <mergeCell ref="C306:E306"/>
    <mergeCell ref="F306:U306"/>
    <mergeCell ref="V306:X306"/>
    <mergeCell ref="Y306:AB306"/>
    <mergeCell ref="AC306:AF306"/>
    <mergeCell ref="AG306:AJ306"/>
    <mergeCell ref="AK306:AN306"/>
    <mergeCell ref="AO306:AR306"/>
    <mergeCell ref="C305:E305"/>
    <mergeCell ref="F305:U305"/>
    <mergeCell ref="V305:X305"/>
    <mergeCell ref="Y305:AB305"/>
    <mergeCell ref="AC305:AF305"/>
    <mergeCell ref="AG305:AJ305"/>
    <mergeCell ref="C314:E314"/>
    <mergeCell ref="F314:AB314"/>
    <mergeCell ref="AC314:AF314"/>
    <mergeCell ref="AG314:AJ314"/>
    <mergeCell ref="AK314:AN314"/>
    <mergeCell ref="AO314:AR314"/>
    <mergeCell ref="C313:E313"/>
    <mergeCell ref="F313:AB313"/>
    <mergeCell ref="AC313:AF313"/>
    <mergeCell ref="AG313:AJ313"/>
    <mergeCell ref="AK313:AN313"/>
    <mergeCell ref="AO313:AR313"/>
    <mergeCell ref="C309:X309"/>
    <mergeCell ref="Y309:AN309"/>
    <mergeCell ref="AO309:AR309"/>
    <mergeCell ref="C311:E312"/>
    <mergeCell ref="F311:AB312"/>
    <mergeCell ref="AC311:AF312"/>
    <mergeCell ref="AG311:AJ312"/>
    <mergeCell ref="AK311:AN312"/>
    <mergeCell ref="AO311:AR312"/>
    <mergeCell ref="C317:E317"/>
    <mergeCell ref="F317:AB317"/>
    <mergeCell ref="AC317:AF317"/>
    <mergeCell ref="AG317:AJ317"/>
    <mergeCell ref="AK317:AN317"/>
    <mergeCell ref="AO317:AR317"/>
    <mergeCell ref="C316:E316"/>
    <mergeCell ref="F316:AB316"/>
    <mergeCell ref="AC316:AF316"/>
    <mergeCell ref="AG316:AJ316"/>
    <mergeCell ref="AK316:AN316"/>
    <mergeCell ref="AO316:AR316"/>
    <mergeCell ref="C315:E315"/>
    <mergeCell ref="F315:AB315"/>
    <mergeCell ref="AC315:AF315"/>
    <mergeCell ref="AG315:AJ315"/>
    <mergeCell ref="AK315:AN315"/>
    <mergeCell ref="AO315:AR315"/>
    <mergeCell ref="C320:E320"/>
    <mergeCell ref="F320:AB320"/>
    <mergeCell ref="AC320:AF320"/>
    <mergeCell ref="AG320:AJ320"/>
    <mergeCell ref="AK320:AN320"/>
    <mergeCell ref="AO320:AR320"/>
    <mergeCell ref="C319:E319"/>
    <mergeCell ref="F319:AB319"/>
    <mergeCell ref="AC319:AF319"/>
    <mergeCell ref="AG319:AJ319"/>
    <mergeCell ref="AK319:AN319"/>
    <mergeCell ref="AO319:AR319"/>
    <mergeCell ref="C318:E318"/>
    <mergeCell ref="F318:AB318"/>
    <mergeCell ref="AC318:AF318"/>
    <mergeCell ref="AG318:AJ318"/>
    <mergeCell ref="AK318:AN318"/>
    <mergeCell ref="AO318:AR318"/>
    <mergeCell ref="C327:E328"/>
    <mergeCell ref="F327:AB328"/>
    <mergeCell ref="AC327:AF328"/>
    <mergeCell ref="AG327:AJ328"/>
    <mergeCell ref="AK327:AN328"/>
    <mergeCell ref="AO327:AR328"/>
    <mergeCell ref="C324:X324"/>
    <mergeCell ref="Y324:AN324"/>
    <mergeCell ref="AO324:AR324"/>
    <mergeCell ref="C325:P325"/>
    <mergeCell ref="Q325:U325"/>
    <mergeCell ref="V325:X325"/>
    <mergeCell ref="Y325:AN325"/>
    <mergeCell ref="AO325:AR325"/>
    <mergeCell ref="C321:X321"/>
    <mergeCell ref="Y321:AF321"/>
    <mergeCell ref="AG321:AJ321"/>
    <mergeCell ref="AK321:AN321"/>
    <mergeCell ref="AO321:AR321"/>
    <mergeCell ref="C322:X322"/>
    <mergeCell ref="Y322:AN322"/>
    <mergeCell ref="AO322:AR322"/>
    <mergeCell ref="C331:E331"/>
    <mergeCell ref="F331:AB331"/>
    <mergeCell ref="AC331:AF331"/>
    <mergeCell ref="AG331:AJ331"/>
    <mergeCell ref="AK331:AN331"/>
    <mergeCell ref="AO331:AR331"/>
    <mergeCell ref="C330:E330"/>
    <mergeCell ref="F330:AB330"/>
    <mergeCell ref="AC330:AF330"/>
    <mergeCell ref="AG330:AJ330"/>
    <mergeCell ref="AK330:AN330"/>
    <mergeCell ref="AO330:AR330"/>
    <mergeCell ref="C329:E329"/>
    <mergeCell ref="F329:AB329"/>
    <mergeCell ref="AC329:AF329"/>
    <mergeCell ref="AG329:AJ329"/>
    <mergeCell ref="AK329:AN329"/>
    <mergeCell ref="AO329:AR329"/>
    <mergeCell ref="C334:E334"/>
    <mergeCell ref="F334:AB334"/>
    <mergeCell ref="AC334:AF334"/>
    <mergeCell ref="AG334:AJ334"/>
    <mergeCell ref="AK334:AN334"/>
    <mergeCell ref="AO334:AR334"/>
    <mergeCell ref="C333:E333"/>
    <mergeCell ref="F333:AB333"/>
    <mergeCell ref="AC333:AF333"/>
    <mergeCell ref="AG333:AJ333"/>
    <mergeCell ref="AK333:AN333"/>
    <mergeCell ref="AO333:AR333"/>
    <mergeCell ref="C332:E332"/>
    <mergeCell ref="F332:AB332"/>
    <mergeCell ref="AC332:AF332"/>
    <mergeCell ref="AG332:AJ332"/>
    <mergeCell ref="AK332:AN332"/>
    <mergeCell ref="AO332:AR332"/>
    <mergeCell ref="C337:X337"/>
    <mergeCell ref="Y337:AN337"/>
    <mergeCell ref="AO337:AR337"/>
    <mergeCell ref="C339:E340"/>
    <mergeCell ref="F339:R340"/>
    <mergeCell ref="S339:U340"/>
    <mergeCell ref="V339:X340"/>
    <mergeCell ref="Y339:AD340"/>
    <mergeCell ref="AE339:AG340"/>
    <mergeCell ref="AH339:AJ340"/>
    <mergeCell ref="C336:E336"/>
    <mergeCell ref="F336:AB336"/>
    <mergeCell ref="AC336:AF336"/>
    <mergeCell ref="AG336:AJ336"/>
    <mergeCell ref="AK336:AN336"/>
    <mergeCell ref="AO336:AR336"/>
    <mergeCell ref="C335:E335"/>
    <mergeCell ref="F335:AB335"/>
    <mergeCell ref="AC335:AF335"/>
    <mergeCell ref="AG335:AJ335"/>
    <mergeCell ref="AK335:AN335"/>
    <mergeCell ref="AO335:AR335"/>
    <mergeCell ref="AO341:AR341"/>
    <mergeCell ref="C342:E342"/>
    <mergeCell ref="F342:R342"/>
    <mergeCell ref="S342:U342"/>
    <mergeCell ref="V342:X342"/>
    <mergeCell ref="Y342:AD342"/>
    <mergeCell ref="AE342:AG342"/>
    <mergeCell ref="AH342:AJ342"/>
    <mergeCell ref="AK342:AN342"/>
    <mergeCell ref="AO342:AR342"/>
    <mergeCell ref="AK339:AN340"/>
    <mergeCell ref="AO339:AR340"/>
    <mergeCell ref="C341:E341"/>
    <mergeCell ref="F341:R341"/>
    <mergeCell ref="S341:U341"/>
    <mergeCell ref="V341:X341"/>
    <mergeCell ref="Y341:AD341"/>
    <mergeCell ref="AE341:AG341"/>
    <mergeCell ref="AH341:AJ341"/>
    <mergeCell ref="AK341:AN341"/>
    <mergeCell ref="AK344:AN344"/>
    <mergeCell ref="AO344:AR344"/>
    <mergeCell ref="C345:E345"/>
    <mergeCell ref="F345:R345"/>
    <mergeCell ref="S345:U345"/>
    <mergeCell ref="V345:X345"/>
    <mergeCell ref="Y345:AD345"/>
    <mergeCell ref="AE345:AG345"/>
    <mergeCell ref="AH345:AJ345"/>
    <mergeCell ref="AK345:AN345"/>
    <mergeCell ref="AH343:AJ343"/>
    <mergeCell ref="AK343:AN343"/>
    <mergeCell ref="AO343:AR343"/>
    <mergeCell ref="C344:E344"/>
    <mergeCell ref="F344:R344"/>
    <mergeCell ref="S344:U344"/>
    <mergeCell ref="V344:X344"/>
    <mergeCell ref="Y344:AD344"/>
    <mergeCell ref="AE344:AG344"/>
    <mergeCell ref="AH344:AJ344"/>
    <mergeCell ref="C343:E343"/>
    <mergeCell ref="F343:R343"/>
    <mergeCell ref="S343:U343"/>
    <mergeCell ref="V343:X343"/>
    <mergeCell ref="Y343:AD343"/>
    <mergeCell ref="AE343:AG343"/>
    <mergeCell ref="AH347:AJ347"/>
    <mergeCell ref="AK347:AN347"/>
    <mergeCell ref="AO347:AR347"/>
    <mergeCell ref="C348:E348"/>
    <mergeCell ref="F348:R348"/>
    <mergeCell ref="S348:U348"/>
    <mergeCell ref="V348:X348"/>
    <mergeCell ref="Y348:AD348"/>
    <mergeCell ref="AE348:AG348"/>
    <mergeCell ref="AH348:AJ348"/>
    <mergeCell ref="C347:E347"/>
    <mergeCell ref="F347:R347"/>
    <mergeCell ref="S347:U347"/>
    <mergeCell ref="V347:X347"/>
    <mergeCell ref="Y347:AD347"/>
    <mergeCell ref="AE347:AG347"/>
    <mergeCell ref="AO345:AR345"/>
    <mergeCell ref="C346:E346"/>
    <mergeCell ref="F346:R346"/>
    <mergeCell ref="S346:U346"/>
    <mergeCell ref="V346:X346"/>
    <mergeCell ref="Y346:AD346"/>
    <mergeCell ref="AE346:AG346"/>
    <mergeCell ref="AH346:AJ346"/>
    <mergeCell ref="AK346:AN346"/>
    <mergeCell ref="AO346:AR346"/>
    <mergeCell ref="AO352:AR352"/>
    <mergeCell ref="A353:B353"/>
    <mergeCell ref="Y353:AN353"/>
    <mergeCell ref="AO353:AR353"/>
    <mergeCell ref="C355:H355"/>
    <mergeCell ref="I355:J355"/>
    <mergeCell ref="K355:Z355"/>
    <mergeCell ref="AA355:AB355"/>
    <mergeCell ref="AC355:AR355"/>
    <mergeCell ref="AK348:AN348"/>
    <mergeCell ref="AO348:AR348"/>
    <mergeCell ref="C349:X349"/>
    <mergeCell ref="Y349:AN349"/>
    <mergeCell ref="AO349:AR349"/>
    <mergeCell ref="C351:X353"/>
    <mergeCell ref="Y351:AN351"/>
    <mergeCell ref="AO351:AR351"/>
    <mergeCell ref="Y352:AG352"/>
    <mergeCell ref="AH352:AN352"/>
    <mergeCell ref="C358:H358"/>
    <mergeCell ref="I358:J358"/>
    <mergeCell ref="K358:Z358"/>
    <mergeCell ref="AA358:AB358"/>
    <mergeCell ref="AC358:AR358"/>
    <mergeCell ref="C359:H359"/>
    <mergeCell ref="I359:J359"/>
    <mergeCell ref="K359:Z359"/>
    <mergeCell ref="AA359:AB359"/>
    <mergeCell ref="AC359:AR359"/>
    <mergeCell ref="C356:H356"/>
    <mergeCell ref="I356:J356"/>
    <mergeCell ref="K356:Z356"/>
    <mergeCell ref="AA356:AB356"/>
    <mergeCell ref="AC356:AR356"/>
    <mergeCell ref="C357:H357"/>
    <mergeCell ref="I357:J357"/>
    <mergeCell ref="K357:Z357"/>
    <mergeCell ref="AA357:AB357"/>
    <mergeCell ref="AC357:AR357"/>
    <mergeCell ref="AP369:AR370"/>
    <mergeCell ref="C372:E373"/>
    <mergeCell ref="F372:U373"/>
    <mergeCell ref="V372:X373"/>
    <mergeCell ref="Y372:AF372"/>
    <mergeCell ref="AG372:AN372"/>
    <mergeCell ref="AO372:AR373"/>
    <mergeCell ref="Y373:AB373"/>
    <mergeCell ref="AC373:AF373"/>
    <mergeCell ref="AG373:AJ373"/>
    <mergeCell ref="C360:H360"/>
    <mergeCell ref="I360:J360"/>
    <mergeCell ref="K360:Z360"/>
    <mergeCell ref="AA360:AB360"/>
    <mergeCell ref="C367:AR368"/>
    <mergeCell ref="C369:F370"/>
    <mergeCell ref="G369:J370"/>
    <mergeCell ref="K369:N370"/>
    <mergeCell ref="O369:AK370"/>
    <mergeCell ref="AL369:AO370"/>
    <mergeCell ref="AC360:AR360"/>
    <mergeCell ref="C362:F362"/>
    <mergeCell ref="G362:AA362"/>
    <mergeCell ref="AB362:AI365"/>
    <mergeCell ref="AJ362:AR365"/>
    <mergeCell ref="C363:F363"/>
    <mergeCell ref="G363:AA363"/>
    <mergeCell ref="C364:F364"/>
    <mergeCell ref="G364:AA364"/>
    <mergeCell ref="C365:AA365"/>
    <mergeCell ref="AO374:AR374"/>
    <mergeCell ref="C375:E375"/>
    <mergeCell ref="F375:U375"/>
    <mergeCell ref="V375:X375"/>
    <mergeCell ref="Y375:AB375"/>
    <mergeCell ref="AC375:AF375"/>
    <mergeCell ref="AG375:AJ375"/>
    <mergeCell ref="AK375:AN375"/>
    <mergeCell ref="AO375:AR375"/>
    <mergeCell ref="AK373:AN373"/>
    <mergeCell ref="C374:E374"/>
    <mergeCell ref="F374:U374"/>
    <mergeCell ref="V374:X374"/>
    <mergeCell ref="Y374:AB374"/>
    <mergeCell ref="AC374:AF374"/>
    <mergeCell ref="AG374:AJ374"/>
    <mergeCell ref="AK374:AN374"/>
    <mergeCell ref="AK378:AN378"/>
    <mergeCell ref="AO378:AR378"/>
    <mergeCell ref="C379:E379"/>
    <mergeCell ref="F379:U379"/>
    <mergeCell ref="V379:X379"/>
    <mergeCell ref="Y379:AB379"/>
    <mergeCell ref="AC379:AF379"/>
    <mergeCell ref="AG379:AJ379"/>
    <mergeCell ref="AK379:AN379"/>
    <mergeCell ref="AO379:AR379"/>
    <mergeCell ref="C378:E378"/>
    <mergeCell ref="F378:U378"/>
    <mergeCell ref="V378:X378"/>
    <mergeCell ref="Y378:AB378"/>
    <mergeCell ref="AC378:AF378"/>
    <mergeCell ref="AG378:AJ378"/>
    <mergeCell ref="AK376:AN376"/>
    <mergeCell ref="AO376:AR376"/>
    <mergeCell ref="C377:E377"/>
    <mergeCell ref="F377:U377"/>
    <mergeCell ref="V377:X377"/>
    <mergeCell ref="Y377:AB377"/>
    <mergeCell ref="AC377:AF377"/>
    <mergeCell ref="AG377:AJ377"/>
    <mergeCell ref="AK377:AN377"/>
    <mergeCell ref="AO377:AR377"/>
    <mergeCell ref="C376:E376"/>
    <mergeCell ref="F376:U376"/>
    <mergeCell ref="V376:X376"/>
    <mergeCell ref="Y376:AB376"/>
    <mergeCell ref="AC376:AF376"/>
    <mergeCell ref="AG376:AJ376"/>
    <mergeCell ref="C386:E386"/>
    <mergeCell ref="F386:AB386"/>
    <mergeCell ref="AC386:AF386"/>
    <mergeCell ref="AG386:AJ386"/>
    <mergeCell ref="AK386:AN386"/>
    <mergeCell ref="AO386:AR386"/>
    <mergeCell ref="C382:X382"/>
    <mergeCell ref="Y382:AN382"/>
    <mergeCell ref="AO382:AR382"/>
    <mergeCell ref="C384:E385"/>
    <mergeCell ref="F384:AB385"/>
    <mergeCell ref="AC384:AF385"/>
    <mergeCell ref="AG384:AJ385"/>
    <mergeCell ref="AK384:AN385"/>
    <mergeCell ref="AO384:AR385"/>
    <mergeCell ref="AK380:AN380"/>
    <mergeCell ref="AO380:AR380"/>
    <mergeCell ref="C381:E381"/>
    <mergeCell ref="F381:U381"/>
    <mergeCell ref="V381:X381"/>
    <mergeCell ref="Y381:AB381"/>
    <mergeCell ref="AC381:AF381"/>
    <mergeCell ref="AG381:AJ381"/>
    <mergeCell ref="AK381:AN381"/>
    <mergeCell ref="AO381:AR381"/>
    <mergeCell ref="C380:E380"/>
    <mergeCell ref="F380:U380"/>
    <mergeCell ref="V380:X380"/>
    <mergeCell ref="Y380:AB380"/>
    <mergeCell ref="AC380:AF380"/>
    <mergeCell ref="AG380:AJ380"/>
    <mergeCell ref="C389:E389"/>
    <mergeCell ref="F389:AB389"/>
    <mergeCell ref="AC389:AF389"/>
    <mergeCell ref="AG389:AJ389"/>
    <mergeCell ref="AK389:AN389"/>
    <mergeCell ref="AO389:AR389"/>
    <mergeCell ref="C388:E388"/>
    <mergeCell ref="F388:AB388"/>
    <mergeCell ref="AC388:AF388"/>
    <mergeCell ref="AG388:AJ388"/>
    <mergeCell ref="AK388:AN388"/>
    <mergeCell ref="AO388:AR388"/>
    <mergeCell ref="C387:E387"/>
    <mergeCell ref="F387:AB387"/>
    <mergeCell ref="AC387:AF387"/>
    <mergeCell ref="AG387:AJ387"/>
    <mergeCell ref="AK387:AN387"/>
    <mergeCell ref="AO387:AR387"/>
    <mergeCell ref="C392:E392"/>
    <mergeCell ref="F392:AB392"/>
    <mergeCell ref="AC392:AF392"/>
    <mergeCell ref="AG392:AJ392"/>
    <mergeCell ref="AK392:AN392"/>
    <mergeCell ref="AO392:AR392"/>
    <mergeCell ref="C391:E391"/>
    <mergeCell ref="F391:AB391"/>
    <mergeCell ref="AC391:AF391"/>
    <mergeCell ref="AG391:AJ391"/>
    <mergeCell ref="AK391:AN391"/>
    <mergeCell ref="AO391:AR391"/>
    <mergeCell ref="C390:E390"/>
    <mergeCell ref="F390:AB390"/>
    <mergeCell ref="AC390:AF390"/>
    <mergeCell ref="AG390:AJ390"/>
    <mergeCell ref="AK390:AN390"/>
    <mergeCell ref="AO390:AR390"/>
    <mergeCell ref="C397:X397"/>
    <mergeCell ref="Y397:AN397"/>
    <mergeCell ref="AO397:AR397"/>
    <mergeCell ref="C398:P398"/>
    <mergeCell ref="Q398:U398"/>
    <mergeCell ref="V398:X398"/>
    <mergeCell ref="Y398:AN398"/>
    <mergeCell ref="AO398:AR398"/>
    <mergeCell ref="C394:X394"/>
    <mergeCell ref="Y394:AF394"/>
    <mergeCell ref="AG394:AJ394"/>
    <mergeCell ref="AK394:AN394"/>
    <mergeCell ref="AO394:AR394"/>
    <mergeCell ref="C395:X395"/>
    <mergeCell ref="Y395:AN395"/>
    <mergeCell ref="AO395:AR395"/>
    <mergeCell ref="C393:E393"/>
    <mergeCell ref="F393:AB393"/>
    <mergeCell ref="AC393:AF393"/>
    <mergeCell ref="AG393:AJ393"/>
    <mergeCell ref="AK393:AN393"/>
    <mergeCell ref="AO393:AR393"/>
    <mergeCell ref="C403:E403"/>
    <mergeCell ref="F403:AB403"/>
    <mergeCell ref="AC403:AF403"/>
    <mergeCell ref="AG403:AJ403"/>
    <mergeCell ref="AK403:AN403"/>
    <mergeCell ref="AO403:AR403"/>
    <mergeCell ref="C402:E402"/>
    <mergeCell ref="F402:AB402"/>
    <mergeCell ref="AC402:AF402"/>
    <mergeCell ref="AG402:AJ402"/>
    <mergeCell ref="AK402:AN402"/>
    <mergeCell ref="AO402:AR402"/>
    <mergeCell ref="C400:E401"/>
    <mergeCell ref="F400:AB401"/>
    <mergeCell ref="AC400:AF401"/>
    <mergeCell ref="AG400:AJ401"/>
    <mergeCell ref="AK400:AN401"/>
    <mergeCell ref="AO400:AR401"/>
    <mergeCell ref="C406:E406"/>
    <mergeCell ref="F406:AB406"/>
    <mergeCell ref="AC406:AF406"/>
    <mergeCell ref="AG406:AJ406"/>
    <mergeCell ref="AK406:AN406"/>
    <mergeCell ref="AO406:AR406"/>
    <mergeCell ref="C405:E405"/>
    <mergeCell ref="F405:AB405"/>
    <mergeCell ref="AC405:AF405"/>
    <mergeCell ref="AG405:AJ405"/>
    <mergeCell ref="AK405:AN405"/>
    <mergeCell ref="AO405:AR405"/>
    <mergeCell ref="C404:E404"/>
    <mergeCell ref="F404:AB404"/>
    <mergeCell ref="AC404:AF404"/>
    <mergeCell ref="AG404:AJ404"/>
    <mergeCell ref="AK404:AN404"/>
    <mergeCell ref="AO404:AR404"/>
    <mergeCell ref="C409:E409"/>
    <mergeCell ref="F409:AB409"/>
    <mergeCell ref="AC409:AF409"/>
    <mergeCell ref="AG409:AJ409"/>
    <mergeCell ref="AK409:AN409"/>
    <mergeCell ref="AO409:AR409"/>
    <mergeCell ref="C408:E408"/>
    <mergeCell ref="F408:AB408"/>
    <mergeCell ref="AC408:AF408"/>
    <mergeCell ref="AG408:AJ408"/>
    <mergeCell ref="AK408:AN408"/>
    <mergeCell ref="AO408:AR408"/>
    <mergeCell ref="C407:E407"/>
    <mergeCell ref="F407:AB407"/>
    <mergeCell ref="AC407:AF407"/>
    <mergeCell ref="AG407:AJ407"/>
    <mergeCell ref="AK407:AN407"/>
    <mergeCell ref="AO407:AR407"/>
    <mergeCell ref="AK412:AN413"/>
    <mergeCell ref="AO412:AR413"/>
    <mergeCell ref="C414:E414"/>
    <mergeCell ref="F414:R414"/>
    <mergeCell ref="S414:U414"/>
    <mergeCell ref="V414:X414"/>
    <mergeCell ref="Y414:AD414"/>
    <mergeCell ref="AE414:AG414"/>
    <mergeCell ref="AH414:AJ414"/>
    <mergeCell ref="AK414:AN414"/>
    <mergeCell ref="C410:X410"/>
    <mergeCell ref="Y410:AN410"/>
    <mergeCell ref="AO410:AR410"/>
    <mergeCell ref="C412:E413"/>
    <mergeCell ref="F412:R413"/>
    <mergeCell ref="S412:U413"/>
    <mergeCell ref="V412:X413"/>
    <mergeCell ref="Y412:AD413"/>
    <mergeCell ref="AE412:AG413"/>
    <mergeCell ref="AH412:AJ413"/>
    <mergeCell ref="AH416:AJ416"/>
    <mergeCell ref="AK416:AN416"/>
    <mergeCell ref="AO416:AR416"/>
    <mergeCell ref="C417:E417"/>
    <mergeCell ref="F417:R417"/>
    <mergeCell ref="S417:U417"/>
    <mergeCell ref="V417:X417"/>
    <mergeCell ref="Y417:AD417"/>
    <mergeCell ref="AE417:AG417"/>
    <mergeCell ref="AH417:AJ417"/>
    <mergeCell ref="C416:E416"/>
    <mergeCell ref="F416:R416"/>
    <mergeCell ref="S416:U416"/>
    <mergeCell ref="V416:X416"/>
    <mergeCell ref="Y416:AD416"/>
    <mergeCell ref="AE416:AG416"/>
    <mergeCell ref="AO414:AR414"/>
    <mergeCell ref="C415:E415"/>
    <mergeCell ref="F415:R415"/>
    <mergeCell ref="S415:U415"/>
    <mergeCell ref="V415:X415"/>
    <mergeCell ref="Y415:AD415"/>
    <mergeCell ref="AE415:AG415"/>
    <mergeCell ref="AH415:AJ415"/>
    <mergeCell ref="AK415:AN415"/>
    <mergeCell ref="AO415:AR415"/>
    <mergeCell ref="AO418:AR418"/>
    <mergeCell ref="C419:E419"/>
    <mergeCell ref="F419:R419"/>
    <mergeCell ref="S419:U419"/>
    <mergeCell ref="V419:X419"/>
    <mergeCell ref="Y419:AD419"/>
    <mergeCell ref="AE419:AG419"/>
    <mergeCell ref="AH419:AJ419"/>
    <mergeCell ref="AK419:AN419"/>
    <mergeCell ref="AO419:AR419"/>
    <mergeCell ref="AK417:AN417"/>
    <mergeCell ref="AO417:AR417"/>
    <mergeCell ref="C418:E418"/>
    <mergeCell ref="F418:R418"/>
    <mergeCell ref="S418:U418"/>
    <mergeCell ref="V418:X418"/>
    <mergeCell ref="Y418:AD418"/>
    <mergeCell ref="AE418:AG418"/>
    <mergeCell ref="AH418:AJ418"/>
    <mergeCell ref="AK418:AN418"/>
    <mergeCell ref="AK421:AN421"/>
    <mergeCell ref="AO421:AR421"/>
    <mergeCell ref="C422:X422"/>
    <mergeCell ref="Y422:AN422"/>
    <mergeCell ref="AO422:AR422"/>
    <mergeCell ref="C424:X426"/>
    <mergeCell ref="Y424:AN424"/>
    <mergeCell ref="AO424:AR424"/>
    <mergeCell ref="Y425:AG425"/>
    <mergeCell ref="AH425:AN425"/>
    <mergeCell ref="AH420:AJ420"/>
    <mergeCell ref="AK420:AN420"/>
    <mergeCell ref="AO420:AR420"/>
    <mergeCell ref="C421:E421"/>
    <mergeCell ref="F421:R421"/>
    <mergeCell ref="S421:U421"/>
    <mergeCell ref="V421:X421"/>
    <mergeCell ref="Y421:AD421"/>
    <mergeCell ref="AE421:AG421"/>
    <mergeCell ref="AH421:AJ421"/>
    <mergeCell ref="C420:E420"/>
    <mergeCell ref="F420:R420"/>
    <mergeCell ref="S420:U420"/>
    <mergeCell ref="V420:X420"/>
    <mergeCell ref="Y420:AD420"/>
    <mergeCell ref="AE420:AG420"/>
    <mergeCell ref="C429:H429"/>
    <mergeCell ref="I429:J429"/>
    <mergeCell ref="K429:Z429"/>
    <mergeCell ref="AA429:AB429"/>
    <mergeCell ref="AC429:AR429"/>
    <mergeCell ref="C430:H430"/>
    <mergeCell ref="I430:J430"/>
    <mergeCell ref="K430:Z430"/>
    <mergeCell ref="AA430:AB430"/>
    <mergeCell ref="AC430:AR430"/>
    <mergeCell ref="AO425:AR425"/>
    <mergeCell ref="A426:B426"/>
    <mergeCell ref="Y426:AN426"/>
    <mergeCell ref="AO426:AR426"/>
    <mergeCell ref="C428:H428"/>
    <mergeCell ref="I428:J428"/>
    <mergeCell ref="K428:Z428"/>
    <mergeCell ref="AA428:AB428"/>
    <mergeCell ref="AC428:AR428"/>
    <mergeCell ref="C433:H433"/>
    <mergeCell ref="I433:J433"/>
    <mergeCell ref="K433:Z433"/>
    <mergeCell ref="AA433:AB433"/>
    <mergeCell ref="AC433:AR433"/>
    <mergeCell ref="C435:F435"/>
    <mergeCell ref="G435:AA435"/>
    <mergeCell ref="AB435:AI438"/>
    <mergeCell ref="AJ435:AR438"/>
    <mergeCell ref="C436:F436"/>
    <mergeCell ref="C431:H431"/>
    <mergeCell ref="I431:J431"/>
    <mergeCell ref="K431:Z431"/>
    <mergeCell ref="AA431:AB431"/>
    <mergeCell ref="AC431:AR431"/>
    <mergeCell ref="C432:H432"/>
    <mergeCell ref="I432:J432"/>
    <mergeCell ref="K432:Z432"/>
    <mergeCell ref="AA432:AB432"/>
    <mergeCell ref="AC432:AR432"/>
    <mergeCell ref="AP442:AR443"/>
    <mergeCell ref="C445:E446"/>
    <mergeCell ref="F445:U446"/>
    <mergeCell ref="V445:X446"/>
    <mergeCell ref="Y445:AF445"/>
    <mergeCell ref="AG445:AN445"/>
    <mergeCell ref="AO445:AR446"/>
    <mergeCell ref="Y446:AB446"/>
    <mergeCell ref="AC446:AF446"/>
    <mergeCell ref="AG446:AJ446"/>
    <mergeCell ref="G436:AA436"/>
    <mergeCell ref="C437:F437"/>
    <mergeCell ref="G437:AA437"/>
    <mergeCell ref="C438:AA438"/>
    <mergeCell ref="C440:AR441"/>
    <mergeCell ref="C442:F443"/>
    <mergeCell ref="G442:J443"/>
    <mergeCell ref="K442:N443"/>
    <mergeCell ref="O442:AK443"/>
    <mergeCell ref="AL442:AO443"/>
    <mergeCell ref="AO447:AR447"/>
    <mergeCell ref="C448:E448"/>
    <mergeCell ref="F448:U448"/>
    <mergeCell ref="V448:X448"/>
    <mergeCell ref="Y448:AB448"/>
    <mergeCell ref="AC448:AF448"/>
    <mergeCell ref="AG448:AJ448"/>
    <mergeCell ref="AK448:AN448"/>
    <mergeCell ref="AO448:AR448"/>
    <mergeCell ref="AK446:AN446"/>
    <mergeCell ref="C447:E447"/>
    <mergeCell ref="F447:U447"/>
    <mergeCell ref="V447:X447"/>
    <mergeCell ref="Y447:AB447"/>
    <mergeCell ref="AC447:AF447"/>
    <mergeCell ref="AG447:AJ447"/>
    <mergeCell ref="AK447:AN447"/>
    <mergeCell ref="AK451:AN451"/>
    <mergeCell ref="AO451:AR451"/>
    <mergeCell ref="C452:E452"/>
    <mergeCell ref="F452:U452"/>
    <mergeCell ref="V452:X452"/>
    <mergeCell ref="Y452:AB452"/>
    <mergeCell ref="AC452:AF452"/>
    <mergeCell ref="AG452:AJ452"/>
    <mergeCell ref="AK452:AN452"/>
    <mergeCell ref="AO452:AR452"/>
    <mergeCell ref="C451:E451"/>
    <mergeCell ref="F451:U451"/>
    <mergeCell ref="V451:X451"/>
    <mergeCell ref="Y451:AB451"/>
    <mergeCell ref="AC451:AF451"/>
    <mergeCell ref="AG451:AJ451"/>
    <mergeCell ref="AK449:AN449"/>
    <mergeCell ref="AO449:AR449"/>
    <mergeCell ref="C450:E450"/>
    <mergeCell ref="F450:U450"/>
    <mergeCell ref="V450:X450"/>
    <mergeCell ref="Y450:AB450"/>
    <mergeCell ref="AC450:AF450"/>
    <mergeCell ref="AG450:AJ450"/>
    <mergeCell ref="AK450:AN450"/>
    <mergeCell ref="AO450:AR450"/>
    <mergeCell ref="C449:E449"/>
    <mergeCell ref="F449:U449"/>
    <mergeCell ref="V449:X449"/>
    <mergeCell ref="Y449:AB449"/>
    <mergeCell ref="AC449:AF449"/>
    <mergeCell ref="AG449:AJ449"/>
    <mergeCell ref="C459:E459"/>
    <mergeCell ref="F459:AB459"/>
    <mergeCell ref="AC459:AF459"/>
    <mergeCell ref="AG459:AJ459"/>
    <mergeCell ref="AK459:AN459"/>
    <mergeCell ref="AO459:AR459"/>
    <mergeCell ref="C455:X455"/>
    <mergeCell ref="Y455:AN455"/>
    <mergeCell ref="AO455:AR455"/>
    <mergeCell ref="C457:E458"/>
    <mergeCell ref="F457:AB458"/>
    <mergeCell ref="AC457:AF458"/>
    <mergeCell ref="AG457:AJ458"/>
    <mergeCell ref="AK457:AN458"/>
    <mergeCell ref="AO457:AR458"/>
    <mergeCell ref="AK453:AN453"/>
    <mergeCell ref="AO453:AR453"/>
    <mergeCell ref="C454:E454"/>
    <mergeCell ref="F454:U454"/>
    <mergeCell ref="V454:X454"/>
    <mergeCell ref="Y454:AB454"/>
    <mergeCell ref="AC454:AF454"/>
    <mergeCell ref="AG454:AJ454"/>
    <mergeCell ref="AK454:AN454"/>
    <mergeCell ref="AO454:AR454"/>
    <mergeCell ref="C453:E453"/>
    <mergeCell ref="F453:U453"/>
    <mergeCell ref="V453:X453"/>
    <mergeCell ref="Y453:AB453"/>
    <mergeCell ref="AC453:AF453"/>
    <mergeCell ref="AG453:AJ453"/>
    <mergeCell ref="C462:E462"/>
    <mergeCell ref="F462:AB462"/>
    <mergeCell ref="AC462:AF462"/>
    <mergeCell ref="AG462:AJ462"/>
    <mergeCell ref="AK462:AN462"/>
    <mergeCell ref="AO462:AR462"/>
    <mergeCell ref="C461:E461"/>
    <mergeCell ref="F461:AB461"/>
    <mergeCell ref="AC461:AF461"/>
    <mergeCell ref="AG461:AJ461"/>
    <mergeCell ref="AK461:AN461"/>
    <mergeCell ref="AO461:AR461"/>
    <mergeCell ref="C460:E460"/>
    <mergeCell ref="F460:AB460"/>
    <mergeCell ref="AC460:AF460"/>
    <mergeCell ref="AG460:AJ460"/>
    <mergeCell ref="AK460:AN460"/>
    <mergeCell ref="AO460:AR460"/>
    <mergeCell ref="C465:E465"/>
    <mergeCell ref="F465:AB465"/>
    <mergeCell ref="AC465:AF465"/>
    <mergeCell ref="AG465:AJ465"/>
    <mergeCell ref="AK465:AN465"/>
    <mergeCell ref="AO465:AR465"/>
    <mergeCell ref="C464:E464"/>
    <mergeCell ref="F464:AB464"/>
    <mergeCell ref="AC464:AF464"/>
    <mergeCell ref="AG464:AJ464"/>
    <mergeCell ref="AK464:AN464"/>
    <mergeCell ref="AO464:AR464"/>
    <mergeCell ref="C463:E463"/>
    <mergeCell ref="F463:AB463"/>
    <mergeCell ref="AC463:AF463"/>
    <mergeCell ref="AG463:AJ463"/>
    <mergeCell ref="AK463:AN463"/>
    <mergeCell ref="AO463:AR463"/>
    <mergeCell ref="C470:X470"/>
    <mergeCell ref="Y470:AN470"/>
    <mergeCell ref="AO470:AR470"/>
    <mergeCell ref="C471:P471"/>
    <mergeCell ref="Q471:U471"/>
    <mergeCell ref="V471:X471"/>
    <mergeCell ref="Y471:AN471"/>
    <mergeCell ref="AO471:AR471"/>
    <mergeCell ref="C467:X467"/>
    <mergeCell ref="Y467:AF467"/>
    <mergeCell ref="AG467:AJ467"/>
    <mergeCell ref="AK467:AN467"/>
    <mergeCell ref="AO467:AR467"/>
    <mergeCell ref="C468:X468"/>
    <mergeCell ref="Y468:AN468"/>
    <mergeCell ref="AO468:AR468"/>
    <mergeCell ref="C466:E466"/>
    <mergeCell ref="F466:AB466"/>
    <mergeCell ref="AC466:AF466"/>
    <mergeCell ref="AG466:AJ466"/>
    <mergeCell ref="AK466:AN466"/>
    <mergeCell ref="AO466:AR466"/>
    <mergeCell ref="C476:E476"/>
    <mergeCell ref="F476:AB476"/>
    <mergeCell ref="AC476:AF476"/>
    <mergeCell ref="AG476:AJ476"/>
    <mergeCell ref="AK476:AN476"/>
    <mergeCell ref="AO476:AR476"/>
    <mergeCell ref="C475:E475"/>
    <mergeCell ref="F475:AB475"/>
    <mergeCell ref="AC475:AF475"/>
    <mergeCell ref="AG475:AJ475"/>
    <mergeCell ref="AK475:AN475"/>
    <mergeCell ref="AO475:AR475"/>
    <mergeCell ref="C473:E474"/>
    <mergeCell ref="F473:AB474"/>
    <mergeCell ref="AC473:AF474"/>
    <mergeCell ref="AG473:AJ474"/>
    <mergeCell ref="AK473:AN474"/>
    <mergeCell ref="AO473:AR474"/>
    <mergeCell ref="C479:E479"/>
    <mergeCell ref="F479:AB479"/>
    <mergeCell ref="AC479:AF479"/>
    <mergeCell ref="AG479:AJ479"/>
    <mergeCell ref="AK479:AN479"/>
    <mergeCell ref="AO479:AR479"/>
    <mergeCell ref="C478:E478"/>
    <mergeCell ref="F478:AB478"/>
    <mergeCell ref="AC478:AF478"/>
    <mergeCell ref="AG478:AJ478"/>
    <mergeCell ref="AK478:AN478"/>
    <mergeCell ref="AO478:AR478"/>
    <mergeCell ref="C477:E477"/>
    <mergeCell ref="F477:AB477"/>
    <mergeCell ref="AC477:AF477"/>
    <mergeCell ref="AG477:AJ477"/>
    <mergeCell ref="AK477:AN477"/>
    <mergeCell ref="AO477:AR477"/>
    <mergeCell ref="C482:E482"/>
    <mergeCell ref="F482:AB482"/>
    <mergeCell ref="AC482:AF482"/>
    <mergeCell ref="AG482:AJ482"/>
    <mergeCell ref="AK482:AN482"/>
    <mergeCell ref="AO482:AR482"/>
    <mergeCell ref="C481:E481"/>
    <mergeCell ref="F481:AB481"/>
    <mergeCell ref="AC481:AF481"/>
    <mergeCell ref="AG481:AJ481"/>
    <mergeCell ref="AK481:AN481"/>
    <mergeCell ref="AO481:AR481"/>
    <mergeCell ref="C480:E480"/>
    <mergeCell ref="F480:AB480"/>
    <mergeCell ref="AC480:AF480"/>
    <mergeCell ref="AG480:AJ480"/>
    <mergeCell ref="AK480:AN480"/>
    <mergeCell ref="AO480:AR480"/>
    <mergeCell ref="AK485:AN486"/>
    <mergeCell ref="AO485:AR486"/>
    <mergeCell ref="C487:E487"/>
    <mergeCell ref="F487:R487"/>
    <mergeCell ref="S487:U487"/>
    <mergeCell ref="V487:X487"/>
    <mergeCell ref="Y487:AD487"/>
    <mergeCell ref="AE487:AG487"/>
    <mergeCell ref="AH487:AJ487"/>
    <mergeCell ref="AK487:AN487"/>
    <mergeCell ref="C483:X483"/>
    <mergeCell ref="Y483:AN483"/>
    <mergeCell ref="AO483:AR483"/>
    <mergeCell ref="C485:E486"/>
    <mergeCell ref="F485:R486"/>
    <mergeCell ref="S485:U486"/>
    <mergeCell ref="V485:X486"/>
    <mergeCell ref="Y485:AD486"/>
    <mergeCell ref="AE485:AG486"/>
    <mergeCell ref="AH485:AJ486"/>
    <mergeCell ref="AH489:AJ489"/>
    <mergeCell ref="AK489:AN489"/>
    <mergeCell ref="AO489:AR489"/>
    <mergeCell ref="C490:E490"/>
    <mergeCell ref="F490:R490"/>
    <mergeCell ref="S490:U490"/>
    <mergeCell ref="V490:X490"/>
    <mergeCell ref="Y490:AD490"/>
    <mergeCell ref="AE490:AG490"/>
    <mergeCell ref="AH490:AJ490"/>
    <mergeCell ref="C489:E489"/>
    <mergeCell ref="F489:R489"/>
    <mergeCell ref="S489:U489"/>
    <mergeCell ref="V489:X489"/>
    <mergeCell ref="Y489:AD489"/>
    <mergeCell ref="AE489:AG489"/>
    <mergeCell ref="AO487:AR487"/>
    <mergeCell ref="C488:E488"/>
    <mergeCell ref="F488:R488"/>
    <mergeCell ref="S488:U488"/>
    <mergeCell ref="V488:X488"/>
    <mergeCell ref="Y488:AD488"/>
    <mergeCell ref="AE488:AG488"/>
    <mergeCell ref="AH488:AJ488"/>
    <mergeCell ref="AK488:AN488"/>
    <mergeCell ref="AO488:AR488"/>
    <mergeCell ref="AO491:AR491"/>
    <mergeCell ref="C492:E492"/>
    <mergeCell ref="F492:R492"/>
    <mergeCell ref="S492:U492"/>
    <mergeCell ref="V492:X492"/>
    <mergeCell ref="Y492:AD492"/>
    <mergeCell ref="AE492:AG492"/>
    <mergeCell ref="AH492:AJ492"/>
    <mergeCell ref="AK492:AN492"/>
    <mergeCell ref="AO492:AR492"/>
    <mergeCell ref="AK490:AN490"/>
    <mergeCell ref="AO490:AR490"/>
    <mergeCell ref="C491:E491"/>
    <mergeCell ref="F491:R491"/>
    <mergeCell ref="S491:U491"/>
    <mergeCell ref="V491:X491"/>
    <mergeCell ref="Y491:AD491"/>
    <mergeCell ref="AE491:AG491"/>
    <mergeCell ref="AH491:AJ491"/>
    <mergeCell ref="AK491:AN491"/>
    <mergeCell ref="AK494:AN494"/>
    <mergeCell ref="AO494:AR494"/>
    <mergeCell ref="C495:X495"/>
    <mergeCell ref="Y495:AN495"/>
    <mergeCell ref="AO495:AR495"/>
    <mergeCell ref="C497:X499"/>
    <mergeCell ref="Y497:AN497"/>
    <mergeCell ref="AO497:AR497"/>
    <mergeCell ref="Y498:AG498"/>
    <mergeCell ref="AH498:AN498"/>
    <mergeCell ref="AH493:AJ493"/>
    <mergeCell ref="AK493:AN493"/>
    <mergeCell ref="AO493:AR493"/>
    <mergeCell ref="C494:E494"/>
    <mergeCell ref="F494:R494"/>
    <mergeCell ref="S494:U494"/>
    <mergeCell ref="V494:X494"/>
    <mergeCell ref="Y494:AD494"/>
    <mergeCell ref="AE494:AG494"/>
    <mergeCell ref="AH494:AJ494"/>
    <mergeCell ref="C493:E493"/>
    <mergeCell ref="F493:R493"/>
    <mergeCell ref="S493:U493"/>
    <mergeCell ref="V493:X493"/>
    <mergeCell ref="Y493:AD493"/>
    <mergeCell ref="AE493:AG493"/>
    <mergeCell ref="C502:H502"/>
    <mergeCell ref="I502:J502"/>
    <mergeCell ref="K502:Z502"/>
    <mergeCell ref="AA502:AB502"/>
    <mergeCell ref="AC502:AR502"/>
    <mergeCell ref="C503:H503"/>
    <mergeCell ref="I503:J503"/>
    <mergeCell ref="K503:Z503"/>
    <mergeCell ref="AA503:AB503"/>
    <mergeCell ref="AC503:AR503"/>
    <mergeCell ref="AO498:AR498"/>
    <mergeCell ref="A499:B499"/>
    <mergeCell ref="Y499:AN499"/>
    <mergeCell ref="AO499:AR499"/>
    <mergeCell ref="C501:H501"/>
    <mergeCell ref="I501:J501"/>
    <mergeCell ref="K501:Z501"/>
    <mergeCell ref="AA501:AB501"/>
    <mergeCell ref="AC501:AR501"/>
    <mergeCell ref="C506:H506"/>
    <mergeCell ref="I506:J506"/>
    <mergeCell ref="K506:Z506"/>
    <mergeCell ref="AA506:AB506"/>
    <mergeCell ref="AC506:AR506"/>
    <mergeCell ref="C508:F508"/>
    <mergeCell ref="G508:AA508"/>
    <mergeCell ref="AB508:AI511"/>
    <mergeCell ref="AJ508:AR511"/>
    <mergeCell ref="C509:F509"/>
    <mergeCell ref="C504:H504"/>
    <mergeCell ref="I504:J504"/>
    <mergeCell ref="K504:Z504"/>
    <mergeCell ref="AA504:AB504"/>
    <mergeCell ref="AC504:AR504"/>
    <mergeCell ref="C505:H505"/>
    <mergeCell ref="I505:J505"/>
    <mergeCell ref="K505:Z505"/>
    <mergeCell ref="AA505:AB505"/>
    <mergeCell ref="AC505:AR505"/>
    <mergeCell ref="AP880:AR881"/>
    <mergeCell ref="C883:E884"/>
    <mergeCell ref="F883:U884"/>
    <mergeCell ref="V883:X884"/>
    <mergeCell ref="Y883:AF883"/>
    <mergeCell ref="AG883:AN883"/>
    <mergeCell ref="AO883:AR884"/>
    <mergeCell ref="Y884:AB884"/>
    <mergeCell ref="AC884:AF884"/>
    <mergeCell ref="AG884:AJ884"/>
    <mergeCell ref="G509:AA509"/>
    <mergeCell ref="C510:F510"/>
    <mergeCell ref="G510:AA510"/>
    <mergeCell ref="C511:AA511"/>
    <mergeCell ref="C878:AR879"/>
    <mergeCell ref="C880:F881"/>
    <mergeCell ref="G880:J881"/>
    <mergeCell ref="K880:N881"/>
    <mergeCell ref="O880:AK881"/>
    <mergeCell ref="AL880:AO881"/>
    <mergeCell ref="C513:AR514"/>
    <mergeCell ref="C515:F516"/>
    <mergeCell ref="G515:J516"/>
    <mergeCell ref="K515:N516"/>
    <mergeCell ref="O515:AK516"/>
    <mergeCell ref="AL515:AO516"/>
    <mergeCell ref="AP515:AR516"/>
    <mergeCell ref="AK520:AN520"/>
    <mergeCell ref="AO520:AR520"/>
    <mergeCell ref="C521:E521"/>
    <mergeCell ref="F521:U521"/>
    <mergeCell ref="V521:X521"/>
    <mergeCell ref="AO885:AR885"/>
    <mergeCell ref="C886:E886"/>
    <mergeCell ref="F886:U886"/>
    <mergeCell ref="V886:X886"/>
    <mergeCell ref="Y886:AB886"/>
    <mergeCell ref="AC886:AF886"/>
    <mergeCell ref="AG886:AJ886"/>
    <mergeCell ref="AK886:AN886"/>
    <mergeCell ref="AO886:AR886"/>
    <mergeCell ref="AK884:AN884"/>
    <mergeCell ref="C885:E885"/>
    <mergeCell ref="F885:U885"/>
    <mergeCell ref="V885:X885"/>
    <mergeCell ref="Y885:AB885"/>
    <mergeCell ref="AC885:AF885"/>
    <mergeCell ref="AG885:AJ885"/>
    <mergeCell ref="AK885:AN885"/>
    <mergeCell ref="AK889:AN889"/>
    <mergeCell ref="AO889:AR889"/>
    <mergeCell ref="C890:E890"/>
    <mergeCell ref="F890:U890"/>
    <mergeCell ref="V890:X890"/>
    <mergeCell ref="Y890:AB890"/>
    <mergeCell ref="AC890:AF890"/>
    <mergeCell ref="AG890:AJ890"/>
    <mergeCell ref="AK890:AN890"/>
    <mergeCell ref="AO890:AR890"/>
    <mergeCell ref="C889:E889"/>
    <mergeCell ref="F889:U889"/>
    <mergeCell ref="V889:X889"/>
    <mergeCell ref="Y889:AB889"/>
    <mergeCell ref="AC889:AF889"/>
    <mergeCell ref="AG889:AJ889"/>
    <mergeCell ref="AK887:AN887"/>
    <mergeCell ref="AO887:AR887"/>
    <mergeCell ref="C888:E888"/>
    <mergeCell ref="F888:U888"/>
    <mergeCell ref="V888:X888"/>
    <mergeCell ref="Y888:AB888"/>
    <mergeCell ref="AC888:AF888"/>
    <mergeCell ref="AG888:AJ888"/>
    <mergeCell ref="AK888:AN888"/>
    <mergeCell ref="AO888:AR888"/>
    <mergeCell ref="C887:E887"/>
    <mergeCell ref="F887:U887"/>
    <mergeCell ref="V887:X887"/>
    <mergeCell ref="Y887:AB887"/>
    <mergeCell ref="AC887:AF887"/>
    <mergeCell ref="AG887:AJ887"/>
    <mergeCell ref="C897:E897"/>
    <mergeCell ref="F897:AB897"/>
    <mergeCell ref="AC897:AF897"/>
    <mergeCell ref="AG897:AJ897"/>
    <mergeCell ref="AK897:AN897"/>
    <mergeCell ref="AO897:AR897"/>
    <mergeCell ref="C893:X893"/>
    <mergeCell ref="Y893:AN893"/>
    <mergeCell ref="AO893:AR893"/>
    <mergeCell ref="C895:E896"/>
    <mergeCell ref="F895:AB896"/>
    <mergeCell ref="AC895:AF896"/>
    <mergeCell ref="AG895:AJ896"/>
    <mergeCell ref="AK895:AN896"/>
    <mergeCell ref="AO895:AR896"/>
    <mergeCell ref="AK891:AN891"/>
    <mergeCell ref="AO891:AR891"/>
    <mergeCell ref="C892:E892"/>
    <mergeCell ref="F892:U892"/>
    <mergeCell ref="V892:X892"/>
    <mergeCell ref="Y892:AB892"/>
    <mergeCell ref="AC892:AF892"/>
    <mergeCell ref="AG892:AJ892"/>
    <mergeCell ref="AK892:AN892"/>
    <mergeCell ref="AO892:AR892"/>
    <mergeCell ref="C891:E891"/>
    <mergeCell ref="F891:U891"/>
    <mergeCell ref="V891:X891"/>
    <mergeCell ref="Y891:AB891"/>
    <mergeCell ref="AC891:AF891"/>
    <mergeCell ref="AG891:AJ891"/>
    <mergeCell ref="C900:E900"/>
    <mergeCell ref="F900:AB900"/>
    <mergeCell ref="AC900:AF900"/>
    <mergeCell ref="AG900:AJ900"/>
    <mergeCell ref="AK900:AN900"/>
    <mergeCell ref="AO900:AR900"/>
    <mergeCell ref="C899:E899"/>
    <mergeCell ref="F899:AB899"/>
    <mergeCell ref="AC899:AF899"/>
    <mergeCell ref="AG899:AJ899"/>
    <mergeCell ref="AK899:AN899"/>
    <mergeCell ref="AO899:AR899"/>
    <mergeCell ref="C898:E898"/>
    <mergeCell ref="F898:AB898"/>
    <mergeCell ref="AC898:AF898"/>
    <mergeCell ref="AG898:AJ898"/>
    <mergeCell ref="AK898:AN898"/>
    <mergeCell ref="AO898:AR898"/>
    <mergeCell ref="C903:E903"/>
    <mergeCell ref="F903:AB903"/>
    <mergeCell ref="AC903:AF903"/>
    <mergeCell ref="AG903:AJ903"/>
    <mergeCell ref="AK903:AN903"/>
    <mergeCell ref="AO903:AR903"/>
    <mergeCell ref="C902:E902"/>
    <mergeCell ref="F902:AB902"/>
    <mergeCell ref="AC902:AF902"/>
    <mergeCell ref="AG902:AJ902"/>
    <mergeCell ref="AK902:AN902"/>
    <mergeCell ref="AO902:AR902"/>
    <mergeCell ref="C901:E901"/>
    <mergeCell ref="F901:AB901"/>
    <mergeCell ref="AC901:AF901"/>
    <mergeCell ref="AG901:AJ901"/>
    <mergeCell ref="AK901:AN901"/>
    <mergeCell ref="AO901:AR901"/>
    <mergeCell ref="C908:X908"/>
    <mergeCell ref="Y908:AN908"/>
    <mergeCell ref="AO908:AR908"/>
    <mergeCell ref="C909:P909"/>
    <mergeCell ref="Q909:U909"/>
    <mergeCell ref="V909:X909"/>
    <mergeCell ref="Y909:AN909"/>
    <mergeCell ref="AO909:AR909"/>
    <mergeCell ref="C905:X905"/>
    <mergeCell ref="Y905:AF905"/>
    <mergeCell ref="AG905:AJ905"/>
    <mergeCell ref="AK905:AN905"/>
    <mergeCell ref="AO905:AR905"/>
    <mergeCell ref="C906:X906"/>
    <mergeCell ref="Y906:AN906"/>
    <mergeCell ref="AO906:AR906"/>
    <mergeCell ref="C904:E904"/>
    <mergeCell ref="F904:AB904"/>
    <mergeCell ref="AC904:AF904"/>
    <mergeCell ref="AG904:AJ904"/>
    <mergeCell ref="AK904:AN904"/>
    <mergeCell ref="AO904:AR904"/>
    <mergeCell ref="C914:E914"/>
    <mergeCell ref="F914:AB914"/>
    <mergeCell ref="AC914:AF914"/>
    <mergeCell ref="AG914:AJ914"/>
    <mergeCell ref="AK914:AN914"/>
    <mergeCell ref="AO914:AR914"/>
    <mergeCell ref="C913:E913"/>
    <mergeCell ref="F913:AB913"/>
    <mergeCell ref="AC913:AF913"/>
    <mergeCell ref="AG913:AJ913"/>
    <mergeCell ref="AK913:AN913"/>
    <mergeCell ref="AO913:AR913"/>
    <mergeCell ref="C911:E912"/>
    <mergeCell ref="F911:AB912"/>
    <mergeCell ref="AC911:AF912"/>
    <mergeCell ref="AG911:AJ912"/>
    <mergeCell ref="AK911:AN912"/>
    <mergeCell ref="AO911:AR912"/>
    <mergeCell ref="C917:E917"/>
    <mergeCell ref="F917:AB917"/>
    <mergeCell ref="AC917:AF917"/>
    <mergeCell ref="AG917:AJ917"/>
    <mergeCell ref="AK917:AN917"/>
    <mergeCell ref="AO917:AR917"/>
    <mergeCell ref="C916:E916"/>
    <mergeCell ref="F916:AB916"/>
    <mergeCell ref="AC916:AF916"/>
    <mergeCell ref="AG916:AJ916"/>
    <mergeCell ref="AK916:AN916"/>
    <mergeCell ref="AO916:AR916"/>
    <mergeCell ref="C915:E915"/>
    <mergeCell ref="F915:AB915"/>
    <mergeCell ref="AC915:AF915"/>
    <mergeCell ref="AG915:AJ915"/>
    <mergeCell ref="AK915:AN915"/>
    <mergeCell ref="AO915:AR915"/>
    <mergeCell ref="C920:E920"/>
    <mergeCell ref="F920:AB920"/>
    <mergeCell ref="AC920:AF920"/>
    <mergeCell ref="AG920:AJ920"/>
    <mergeCell ref="AK920:AN920"/>
    <mergeCell ref="AO920:AR920"/>
    <mergeCell ref="C919:E919"/>
    <mergeCell ref="F919:AB919"/>
    <mergeCell ref="AC919:AF919"/>
    <mergeCell ref="AG919:AJ919"/>
    <mergeCell ref="AK919:AN919"/>
    <mergeCell ref="AO919:AR919"/>
    <mergeCell ref="C918:E918"/>
    <mergeCell ref="F918:AB918"/>
    <mergeCell ref="AC918:AF918"/>
    <mergeCell ref="AG918:AJ918"/>
    <mergeCell ref="AK918:AN918"/>
    <mergeCell ref="AO918:AR918"/>
    <mergeCell ref="AK923:AN924"/>
    <mergeCell ref="AO923:AR924"/>
    <mergeCell ref="C925:E925"/>
    <mergeCell ref="F925:R925"/>
    <mergeCell ref="S925:U925"/>
    <mergeCell ref="V925:X925"/>
    <mergeCell ref="Y925:AD925"/>
    <mergeCell ref="AE925:AG925"/>
    <mergeCell ref="AH925:AJ925"/>
    <mergeCell ref="AK925:AN925"/>
    <mergeCell ref="C921:X921"/>
    <mergeCell ref="Y921:AN921"/>
    <mergeCell ref="AO921:AR921"/>
    <mergeCell ref="C923:E924"/>
    <mergeCell ref="F923:R924"/>
    <mergeCell ref="S923:U924"/>
    <mergeCell ref="V923:X924"/>
    <mergeCell ref="Y923:AD924"/>
    <mergeCell ref="AE923:AG924"/>
    <mergeCell ref="AH923:AJ924"/>
    <mergeCell ref="AH927:AJ927"/>
    <mergeCell ref="AK927:AN927"/>
    <mergeCell ref="AO927:AR927"/>
    <mergeCell ref="C928:E928"/>
    <mergeCell ref="F928:R928"/>
    <mergeCell ref="S928:U928"/>
    <mergeCell ref="V928:X928"/>
    <mergeCell ref="Y928:AD928"/>
    <mergeCell ref="AE928:AG928"/>
    <mergeCell ref="AH928:AJ928"/>
    <mergeCell ref="C927:E927"/>
    <mergeCell ref="F927:R927"/>
    <mergeCell ref="S927:U927"/>
    <mergeCell ref="V927:X927"/>
    <mergeCell ref="Y927:AD927"/>
    <mergeCell ref="AE927:AG927"/>
    <mergeCell ref="AO925:AR925"/>
    <mergeCell ref="C926:E926"/>
    <mergeCell ref="F926:R926"/>
    <mergeCell ref="S926:U926"/>
    <mergeCell ref="V926:X926"/>
    <mergeCell ref="Y926:AD926"/>
    <mergeCell ref="AE926:AG926"/>
    <mergeCell ref="AH926:AJ926"/>
    <mergeCell ref="AK926:AN926"/>
    <mergeCell ref="AO926:AR926"/>
    <mergeCell ref="AO929:AR929"/>
    <mergeCell ref="C930:E930"/>
    <mergeCell ref="F930:R930"/>
    <mergeCell ref="S930:U930"/>
    <mergeCell ref="V930:X930"/>
    <mergeCell ref="Y930:AD930"/>
    <mergeCell ref="AE930:AG930"/>
    <mergeCell ref="AH930:AJ930"/>
    <mergeCell ref="AK930:AN930"/>
    <mergeCell ref="AO930:AR930"/>
    <mergeCell ref="AK928:AN928"/>
    <mergeCell ref="AO928:AR928"/>
    <mergeCell ref="C929:E929"/>
    <mergeCell ref="F929:R929"/>
    <mergeCell ref="S929:U929"/>
    <mergeCell ref="V929:X929"/>
    <mergeCell ref="Y929:AD929"/>
    <mergeCell ref="AE929:AG929"/>
    <mergeCell ref="AH929:AJ929"/>
    <mergeCell ref="AK929:AN929"/>
    <mergeCell ref="AK932:AN932"/>
    <mergeCell ref="AO932:AR932"/>
    <mergeCell ref="C933:X933"/>
    <mergeCell ref="Y933:AN933"/>
    <mergeCell ref="AO933:AR933"/>
    <mergeCell ref="C935:X937"/>
    <mergeCell ref="Y935:AN935"/>
    <mergeCell ref="AO935:AR935"/>
    <mergeCell ref="Y936:AG936"/>
    <mergeCell ref="AH936:AN936"/>
    <mergeCell ref="AH931:AJ931"/>
    <mergeCell ref="AK931:AN931"/>
    <mergeCell ref="AO931:AR931"/>
    <mergeCell ref="C932:E932"/>
    <mergeCell ref="F932:R932"/>
    <mergeCell ref="S932:U932"/>
    <mergeCell ref="V932:X932"/>
    <mergeCell ref="Y932:AD932"/>
    <mergeCell ref="AE932:AG932"/>
    <mergeCell ref="AH932:AJ932"/>
    <mergeCell ref="C931:E931"/>
    <mergeCell ref="F931:R931"/>
    <mergeCell ref="S931:U931"/>
    <mergeCell ref="V931:X931"/>
    <mergeCell ref="Y931:AD931"/>
    <mergeCell ref="AE931:AG931"/>
    <mergeCell ref="I940:J940"/>
    <mergeCell ref="K940:Z940"/>
    <mergeCell ref="AA940:AB940"/>
    <mergeCell ref="AC940:AR940"/>
    <mergeCell ref="C941:H941"/>
    <mergeCell ref="I941:J941"/>
    <mergeCell ref="K941:Z941"/>
    <mergeCell ref="AA941:AB941"/>
    <mergeCell ref="AC941:AR941"/>
    <mergeCell ref="AO936:AR936"/>
    <mergeCell ref="A937:B937"/>
    <mergeCell ref="Y937:AN937"/>
    <mergeCell ref="AO937:AR937"/>
    <mergeCell ref="C939:H939"/>
    <mergeCell ref="I939:J939"/>
    <mergeCell ref="K939:Z939"/>
    <mergeCell ref="AA939:AB939"/>
    <mergeCell ref="AC939:AR939"/>
    <mergeCell ref="C940:H940"/>
    <mergeCell ref="C944:H944"/>
    <mergeCell ref="I944:J944"/>
    <mergeCell ref="K944:Z944"/>
    <mergeCell ref="AA944:AB944"/>
    <mergeCell ref="AC944:AR944"/>
    <mergeCell ref="C946:F946"/>
    <mergeCell ref="G946:AA946"/>
    <mergeCell ref="AB946:AI949"/>
    <mergeCell ref="AJ946:AR949"/>
    <mergeCell ref="C947:F947"/>
    <mergeCell ref="G947:AA947"/>
    <mergeCell ref="C948:F948"/>
    <mergeCell ref="G948:AA948"/>
    <mergeCell ref="C949:AA949"/>
    <mergeCell ref="AC942:AR942"/>
    <mergeCell ref="C943:H943"/>
    <mergeCell ref="I943:J943"/>
    <mergeCell ref="K943:Z943"/>
    <mergeCell ref="AA943:AB943"/>
    <mergeCell ref="AC943:AR943"/>
    <mergeCell ref="C942:H942"/>
    <mergeCell ref="I942:J942"/>
    <mergeCell ref="K942:Z942"/>
    <mergeCell ref="AA942:AB942"/>
    <mergeCell ref="Y521:AB521"/>
    <mergeCell ref="AC521:AF521"/>
    <mergeCell ref="AG521:AJ521"/>
    <mergeCell ref="AK521:AN521"/>
    <mergeCell ref="AO521:AR521"/>
    <mergeCell ref="C520:E520"/>
    <mergeCell ref="F520:U520"/>
    <mergeCell ref="V520:X520"/>
    <mergeCell ref="Y520:AB520"/>
    <mergeCell ref="AC520:AF520"/>
    <mergeCell ref="AG520:AJ520"/>
    <mergeCell ref="C518:E519"/>
    <mergeCell ref="F518:U519"/>
    <mergeCell ref="V518:X519"/>
    <mergeCell ref="Y518:AF518"/>
    <mergeCell ref="AG518:AN518"/>
    <mergeCell ref="AO518:AR519"/>
    <mergeCell ref="Y519:AB519"/>
    <mergeCell ref="AC519:AF519"/>
    <mergeCell ref="AG519:AJ519"/>
    <mergeCell ref="AK519:AN519"/>
    <mergeCell ref="AK524:AN524"/>
    <mergeCell ref="AO524:AR524"/>
    <mergeCell ref="C525:E525"/>
    <mergeCell ref="F525:U525"/>
    <mergeCell ref="V525:X525"/>
    <mergeCell ref="Y525:AB525"/>
    <mergeCell ref="AC525:AF525"/>
    <mergeCell ref="AG525:AJ525"/>
    <mergeCell ref="AK525:AN525"/>
    <mergeCell ref="AO525:AR525"/>
    <mergeCell ref="C524:E524"/>
    <mergeCell ref="F524:U524"/>
    <mergeCell ref="V524:X524"/>
    <mergeCell ref="Y524:AB524"/>
    <mergeCell ref="AC524:AF524"/>
    <mergeCell ref="AG524:AJ524"/>
    <mergeCell ref="AK522:AN522"/>
    <mergeCell ref="AO522:AR522"/>
    <mergeCell ref="C523:E523"/>
    <mergeCell ref="F523:U523"/>
    <mergeCell ref="V523:X523"/>
    <mergeCell ref="Y523:AB523"/>
    <mergeCell ref="AC523:AF523"/>
    <mergeCell ref="AG523:AJ523"/>
    <mergeCell ref="AK523:AN523"/>
    <mergeCell ref="AO523:AR523"/>
    <mergeCell ref="C522:E522"/>
    <mergeCell ref="F522:U522"/>
    <mergeCell ref="V522:X522"/>
    <mergeCell ref="Y522:AB522"/>
    <mergeCell ref="AC522:AF522"/>
    <mergeCell ref="AG522:AJ522"/>
    <mergeCell ref="C532:E532"/>
    <mergeCell ref="F532:AB532"/>
    <mergeCell ref="AC532:AF532"/>
    <mergeCell ref="AG532:AJ532"/>
    <mergeCell ref="AK532:AN532"/>
    <mergeCell ref="AO532:AR532"/>
    <mergeCell ref="C528:X528"/>
    <mergeCell ref="Y528:AN528"/>
    <mergeCell ref="AO528:AR528"/>
    <mergeCell ref="C530:E531"/>
    <mergeCell ref="F530:AB531"/>
    <mergeCell ref="AC530:AF531"/>
    <mergeCell ref="AG530:AJ531"/>
    <mergeCell ref="AK530:AN531"/>
    <mergeCell ref="AO530:AR531"/>
    <mergeCell ref="AK526:AN526"/>
    <mergeCell ref="AO526:AR526"/>
    <mergeCell ref="C527:E527"/>
    <mergeCell ref="F527:U527"/>
    <mergeCell ref="V527:X527"/>
    <mergeCell ref="Y527:AB527"/>
    <mergeCell ref="AC527:AF527"/>
    <mergeCell ref="AG527:AJ527"/>
    <mergeCell ref="AK527:AN527"/>
    <mergeCell ref="AO527:AR527"/>
    <mergeCell ref="C526:E526"/>
    <mergeCell ref="F526:U526"/>
    <mergeCell ref="V526:X526"/>
    <mergeCell ref="Y526:AB526"/>
    <mergeCell ref="AC526:AF526"/>
    <mergeCell ref="AG526:AJ526"/>
    <mergeCell ref="C535:E535"/>
    <mergeCell ref="F535:AB535"/>
    <mergeCell ref="AC535:AF535"/>
    <mergeCell ref="AG535:AJ535"/>
    <mergeCell ref="AK535:AN535"/>
    <mergeCell ref="AO535:AR535"/>
    <mergeCell ref="C534:E534"/>
    <mergeCell ref="F534:AB534"/>
    <mergeCell ref="AC534:AF534"/>
    <mergeCell ref="AG534:AJ534"/>
    <mergeCell ref="AK534:AN534"/>
    <mergeCell ref="AO534:AR534"/>
    <mergeCell ref="C533:E533"/>
    <mergeCell ref="F533:AB533"/>
    <mergeCell ref="AC533:AF533"/>
    <mergeCell ref="AG533:AJ533"/>
    <mergeCell ref="AK533:AN533"/>
    <mergeCell ref="AO533:AR533"/>
    <mergeCell ref="C538:E538"/>
    <mergeCell ref="F538:AB538"/>
    <mergeCell ref="AC538:AF538"/>
    <mergeCell ref="AG538:AJ538"/>
    <mergeCell ref="AK538:AN538"/>
    <mergeCell ref="AO538:AR538"/>
    <mergeCell ref="C537:E537"/>
    <mergeCell ref="F537:AB537"/>
    <mergeCell ref="AC537:AF537"/>
    <mergeCell ref="AG537:AJ537"/>
    <mergeCell ref="AK537:AN537"/>
    <mergeCell ref="AO537:AR537"/>
    <mergeCell ref="C536:E536"/>
    <mergeCell ref="F536:AB536"/>
    <mergeCell ref="AC536:AF536"/>
    <mergeCell ref="AG536:AJ536"/>
    <mergeCell ref="AK536:AN536"/>
    <mergeCell ref="AO536:AR536"/>
    <mergeCell ref="C543:X543"/>
    <mergeCell ref="Y543:AN543"/>
    <mergeCell ref="AO543:AR543"/>
    <mergeCell ref="C544:P544"/>
    <mergeCell ref="Q544:U544"/>
    <mergeCell ref="V544:X544"/>
    <mergeCell ref="Y544:AN544"/>
    <mergeCell ref="AO544:AR544"/>
    <mergeCell ref="C540:X540"/>
    <mergeCell ref="Y540:AF540"/>
    <mergeCell ref="AG540:AJ540"/>
    <mergeCell ref="AK540:AN540"/>
    <mergeCell ref="AO540:AR540"/>
    <mergeCell ref="C541:X541"/>
    <mergeCell ref="Y541:AN541"/>
    <mergeCell ref="AO541:AR541"/>
    <mergeCell ref="C539:E539"/>
    <mergeCell ref="F539:AB539"/>
    <mergeCell ref="AC539:AF539"/>
    <mergeCell ref="AG539:AJ539"/>
    <mergeCell ref="AK539:AN539"/>
    <mergeCell ref="AO539:AR539"/>
    <mergeCell ref="C549:E549"/>
    <mergeCell ref="F549:AB549"/>
    <mergeCell ref="AC549:AF549"/>
    <mergeCell ref="AG549:AJ549"/>
    <mergeCell ref="AK549:AN549"/>
    <mergeCell ref="AO549:AR549"/>
    <mergeCell ref="C548:E548"/>
    <mergeCell ref="F548:AB548"/>
    <mergeCell ref="AC548:AF548"/>
    <mergeCell ref="AG548:AJ548"/>
    <mergeCell ref="AK548:AN548"/>
    <mergeCell ref="AO548:AR548"/>
    <mergeCell ref="C546:E547"/>
    <mergeCell ref="F546:AB547"/>
    <mergeCell ref="AC546:AF547"/>
    <mergeCell ref="AG546:AJ547"/>
    <mergeCell ref="AK546:AN547"/>
    <mergeCell ref="AO546:AR547"/>
    <mergeCell ref="C552:E552"/>
    <mergeCell ref="F552:AB552"/>
    <mergeCell ref="AC552:AF552"/>
    <mergeCell ref="AG552:AJ552"/>
    <mergeCell ref="AK552:AN552"/>
    <mergeCell ref="AO552:AR552"/>
    <mergeCell ref="C551:E551"/>
    <mergeCell ref="F551:AB551"/>
    <mergeCell ref="AC551:AF551"/>
    <mergeCell ref="AG551:AJ551"/>
    <mergeCell ref="AK551:AN551"/>
    <mergeCell ref="AO551:AR551"/>
    <mergeCell ref="C550:E550"/>
    <mergeCell ref="F550:AB550"/>
    <mergeCell ref="AC550:AF550"/>
    <mergeCell ref="AG550:AJ550"/>
    <mergeCell ref="AK550:AN550"/>
    <mergeCell ref="AO550:AR550"/>
    <mergeCell ref="C555:E555"/>
    <mergeCell ref="F555:AB555"/>
    <mergeCell ref="AC555:AF555"/>
    <mergeCell ref="AG555:AJ555"/>
    <mergeCell ref="AK555:AN555"/>
    <mergeCell ref="AO555:AR555"/>
    <mergeCell ref="C554:E554"/>
    <mergeCell ref="F554:AB554"/>
    <mergeCell ref="AC554:AF554"/>
    <mergeCell ref="AG554:AJ554"/>
    <mergeCell ref="AK554:AN554"/>
    <mergeCell ref="AO554:AR554"/>
    <mergeCell ref="C553:E553"/>
    <mergeCell ref="F553:AB553"/>
    <mergeCell ref="AC553:AF553"/>
    <mergeCell ref="AG553:AJ553"/>
    <mergeCell ref="AK553:AN553"/>
    <mergeCell ref="AO553:AR553"/>
    <mergeCell ref="AK558:AN559"/>
    <mergeCell ref="AO558:AR559"/>
    <mergeCell ref="C560:E560"/>
    <mergeCell ref="F560:R560"/>
    <mergeCell ref="S560:U560"/>
    <mergeCell ref="V560:X560"/>
    <mergeCell ref="Y560:AD560"/>
    <mergeCell ref="AE560:AG560"/>
    <mergeCell ref="AH560:AJ560"/>
    <mergeCell ref="AK560:AN560"/>
    <mergeCell ref="C556:X556"/>
    <mergeCell ref="Y556:AN556"/>
    <mergeCell ref="AO556:AR556"/>
    <mergeCell ref="C558:E559"/>
    <mergeCell ref="F558:R559"/>
    <mergeCell ref="S558:U559"/>
    <mergeCell ref="V558:X559"/>
    <mergeCell ref="Y558:AD559"/>
    <mergeCell ref="AE558:AG559"/>
    <mergeCell ref="AH558:AJ559"/>
    <mergeCell ref="AH562:AJ562"/>
    <mergeCell ref="AK562:AN562"/>
    <mergeCell ref="AO562:AR562"/>
    <mergeCell ref="C563:E563"/>
    <mergeCell ref="F563:R563"/>
    <mergeCell ref="S563:U563"/>
    <mergeCell ref="V563:X563"/>
    <mergeCell ref="Y563:AD563"/>
    <mergeCell ref="AE563:AG563"/>
    <mergeCell ref="AH563:AJ563"/>
    <mergeCell ref="C562:E562"/>
    <mergeCell ref="F562:R562"/>
    <mergeCell ref="S562:U562"/>
    <mergeCell ref="V562:X562"/>
    <mergeCell ref="Y562:AD562"/>
    <mergeCell ref="AE562:AG562"/>
    <mergeCell ref="AO560:AR560"/>
    <mergeCell ref="C561:E561"/>
    <mergeCell ref="F561:R561"/>
    <mergeCell ref="S561:U561"/>
    <mergeCell ref="V561:X561"/>
    <mergeCell ref="Y561:AD561"/>
    <mergeCell ref="AE561:AG561"/>
    <mergeCell ref="AH561:AJ561"/>
    <mergeCell ref="AK561:AN561"/>
    <mergeCell ref="AO561:AR561"/>
    <mergeCell ref="AO564:AR564"/>
    <mergeCell ref="C565:E565"/>
    <mergeCell ref="F565:R565"/>
    <mergeCell ref="S565:U565"/>
    <mergeCell ref="V565:X565"/>
    <mergeCell ref="Y565:AD565"/>
    <mergeCell ref="AE565:AG565"/>
    <mergeCell ref="AH565:AJ565"/>
    <mergeCell ref="AK565:AN565"/>
    <mergeCell ref="AO565:AR565"/>
    <mergeCell ref="AK563:AN563"/>
    <mergeCell ref="AO563:AR563"/>
    <mergeCell ref="C564:E564"/>
    <mergeCell ref="F564:R564"/>
    <mergeCell ref="S564:U564"/>
    <mergeCell ref="V564:X564"/>
    <mergeCell ref="Y564:AD564"/>
    <mergeCell ref="AE564:AG564"/>
    <mergeCell ref="AH564:AJ564"/>
    <mergeCell ref="AK564:AN564"/>
    <mergeCell ref="AK567:AN567"/>
    <mergeCell ref="AO567:AR567"/>
    <mergeCell ref="C568:X568"/>
    <mergeCell ref="Y568:AN568"/>
    <mergeCell ref="AO568:AR568"/>
    <mergeCell ref="C570:X572"/>
    <mergeCell ref="Y570:AN570"/>
    <mergeCell ref="AO570:AR570"/>
    <mergeCell ref="Y571:AG571"/>
    <mergeCell ref="AH571:AN571"/>
    <mergeCell ref="AH566:AJ566"/>
    <mergeCell ref="AK566:AN566"/>
    <mergeCell ref="AO566:AR566"/>
    <mergeCell ref="C567:E567"/>
    <mergeCell ref="F567:R567"/>
    <mergeCell ref="S567:U567"/>
    <mergeCell ref="V567:X567"/>
    <mergeCell ref="Y567:AD567"/>
    <mergeCell ref="AE567:AG567"/>
    <mergeCell ref="AH567:AJ567"/>
    <mergeCell ref="C566:E566"/>
    <mergeCell ref="F566:R566"/>
    <mergeCell ref="S566:U566"/>
    <mergeCell ref="V566:X566"/>
    <mergeCell ref="Y566:AD566"/>
    <mergeCell ref="AE566:AG566"/>
    <mergeCell ref="C575:H575"/>
    <mergeCell ref="I575:J575"/>
    <mergeCell ref="K575:Z575"/>
    <mergeCell ref="AA575:AB575"/>
    <mergeCell ref="AC575:AR575"/>
    <mergeCell ref="C576:H576"/>
    <mergeCell ref="I576:J576"/>
    <mergeCell ref="K576:Z576"/>
    <mergeCell ref="AA576:AB576"/>
    <mergeCell ref="AC576:AR576"/>
    <mergeCell ref="AO571:AR571"/>
    <mergeCell ref="A572:B572"/>
    <mergeCell ref="Y572:AN572"/>
    <mergeCell ref="AO572:AR572"/>
    <mergeCell ref="C574:H574"/>
    <mergeCell ref="I574:J574"/>
    <mergeCell ref="K574:Z574"/>
    <mergeCell ref="AA574:AB574"/>
    <mergeCell ref="AC574:AR574"/>
    <mergeCell ref="C579:H579"/>
    <mergeCell ref="I579:J579"/>
    <mergeCell ref="K579:Z579"/>
    <mergeCell ref="AA579:AB579"/>
    <mergeCell ref="AC579:AR579"/>
    <mergeCell ref="C581:F581"/>
    <mergeCell ref="G581:AA581"/>
    <mergeCell ref="AB581:AI584"/>
    <mergeCell ref="AJ581:AR584"/>
    <mergeCell ref="C582:F582"/>
    <mergeCell ref="C577:H577"/>
    <mergeCell ref="I577:J577"/>
    <mergeCell ref="K577:Z577"/>
    <mergeCell ref="AA577:AB577"/>
    <mergeCell ref="AC577:AR577"/>
    <mergeCell ref="C578:H578"/>
    <mergeCell ref="I578:J578"/>
    <mergeCell ref="K578:Z578"/>
    <mergeCell ref="AA578:AB578"/>
    <mergeCell ref="AC578:AR578"/>
    <mergeCell ref="AP588:AR589"/>
    <mergeCell ref="C591:E592"/>
    <mergeCell ref="F591:U592"/>
    <mergeCell ref="V591:X592"/>
    <mergeCell ref="Y591:AF591"/>
    <mergeCell ref="AG591:AN591"/>
    <mergeCell ref="AO591:AR592"/>
    <mergeCell ref="Y592:AB592"/>
    <mergeCell ref="AC592:AF592"/>
    <mergeCell ref="AG592:AJ592"/>
    <mergeCell ref="G582:AA582"/>
    <mergeCell ref="C583:F583"/>
    <mergeCell ref="G583:AA583"/>
    <mergeCell ref="C584:AA584"/>
    <mergeCell ref="C586:AR587"/>
    <mergeCell ref="C588:F589"/>
    <mergeCell ref="G588:J589"/>
    <mergeCell ref="K588:N589"/>
    <mergeCell ref="O588:AK589"/>
    <mergeCell ref="AL588:AO589"/>
    <mergeCell ref="AO593:AR593"/>
    <mergeCell ref="C594:E594"/>
    <mergeCell ref="F594:U594"/>
    <mergeCell ref="V594:X594"/>
    <mergeCell ref="Y594:AB594"/>
    <mergeCell ref="AC594:AF594"/>
    <mergeCell ref="AG594:AJ594"/>
    <mergeCell ref="AK594:AN594"/>
    <mergeCell ref="AO594:AR594"/>
    <mergeCell ref="AK592:AN592"/>
    <mergeCell ref="C593:E593"/>
    <mergeCell ref="F593:U593"/>
    <mergeCell ref="V593:X593"/>
    <mergeCell ref="Y593:AB593"/>
    <mergeCell ref="AC593:AF593"/>
    <mergeCell ref="AG593:AJ593"/>
    <mergeCell ref="AK593:AN593"/>
    <mergeCell ref="AK597:AN597"/>
    <mergeCell ref="AO597:AR597"/>
    <mergeCell ref="C598:E598"/>
    <mergeCell ref="F598:U598"/>
    <mergeCell ref="V598:X598"/>
    <mergeCell ref="Y598:AB598"/>
    <mergeCell ref="AC598:AF598"/>
    <mergeCell ref="AG598:AJ598"/>
    <mergeCell ref="AK598:AN598"/>
    <mergeCell ref="AO598:AR598"/>
    <mergeCell ref="C597:E597"/>
    <mergeCell ref="F597:U597"/>
    <mergeCell ref="V597:X597"/>
    <mergeCell ref="Y597:AB597"/>
    <mergeCell ref="AC597:AF597"/>
    <mergeCell ref="AG597:AJ597"/>
    <mergeCell ref="AK595:AN595"/>
    <mergeCell ref="AO595:AR595"/>
    <mergeCell ref="C596:E596"/>
    <mergeCell ref="F596:U596"/>
    <mergeCell ref="V596:X596"/>
    <mergeCell ref="Y596:AB596"/>
    <mergeCell ref="AC596:AF596"/>
    <mergeCell ref="AG596:AJ596"/>
    <mergeCell ref="AK596:AN596"/>
    <mergeCell ref="AO596:AR596"/>
    <mergeCell ref="C595:E595"/>
    <mergeCell ref="F595:U595"/>
    <mergeCell ref="V595:X595"/>
    <mergeCell ref="Y595:AB595"/>
    <mergeCell ref="AC595:AF595"/>
    <mergeCell ref="AG595:AJ595"/>
    <mergeCell ref="C605:E605"/>
    <mergeCell ref="F605:AB605"/>
    <mergeCell ref="AC605:AF605"/>
    <mergeCell ref="AG605:AJ605"/>
    <mergeCell ref="AK605:AN605"/>
    <mergeCell ref="AO605:AR605"/>
    <mergeCell ref="C601:X601"/>
    <mergeCell ref="Y601:AN601"/>
    <mergeCell ref="AO601:AR601"/>
    <mergeCell ref="C603:E604"/>
    <mergeCell ref="F603:AB604"/>
    <mergeCell ref="AC603:AF604"/>
    <mergeCell ref="AG603:AJ604"/>
    <mergeCell ref="AK603:AN604"/>
    <mergeCell ref="AO603:AR604"/>
    <mergeCell ref="AK599:AN599"/>
    <mergeCell ref="AO599:AR599"/>
    <mergeCell ref="C600:E600"/>
    <mergeCell ref="F600:U600"/>
    <mergeCell ref="V600:X600"/>
    <mergeCell ref="Y600:AB600"/>
    <mergeCell ref="AC600:AF600"/>
    <mergeCell ref="AG600:AJ600"/>
    <mergeCell ref="AK600:AN600"/>
    <mergeCell ref="AO600:AR600"/>
    <mergeCell ref="C599:E599"/>
    <mergeCell ref="F599:U599"/>
    <mergeCell ref="V599:X599"/>
    <mergeCell ref="Y599:AB599"/>
    <mergeCell ref="AC599:AF599"/>
    <mergeCell ref="AG599:AJ599"/>
    <mergeCell ref="C608:E608"/>
    <mergeCell ref="F608:AB608"/>
    <mergeCell ref="AC608:AF608"/>
    <mergeCell ref="AG608:AJ608"/>
    <mergeCell ref="AK608:AN608"/>
    <mergeCell ref="AO608:AR608"/>
    <mergeCell ref="C607:E607"/>
    <mergeCell ref="F607:AB607"/>
    <mergeCell ref="AC607:AF607"/>
    <mergeCell ref="AG607:AJ607"/>
    <mergeCell ref="AK607:AN607"/>
    <mergeCell ref="AO607:AR607"/>
    <mergeCell ref="C606:E606"/>
    <mergeCell ref="F606:AB606"/>
    <mergeCell ref="AC606:AF606"/>
    <mergeCell ref="AG606:AJ606"/>
    <mergeCell ref="AK606:AN606"/>
    <mergeCell ref="AO606:AR606"/>
    <mergeCell ref="C611:E611"/>
    <mergeCell ref="F611:AB611"/>
    <mergeCell ref="AC611:AF611"/>
    <mergeCell ref="AG611:AJ611"/>
    <mergeCell ref="AK611:AN611"/>
    <mergeCell ref="AO611:AR611"/>
    <mergeCell ref="C610:E610"/>
    <mergeCell ref="F610:AB610"/>
    <mergeCell ref="AC610:AF610"/>
    <mergeCell ref="AG610:AJ610"/>
    <mergeCell ref="AK610:AN610"/>
    <mergeCell ref="AO610:AR610"/>
    <mergeCell ref="C609:E609"/>
    <mergeCell ref="F609:AB609"/>
    <mergeCell ref="AC609:AF609"/>
    <mergeCell ref="AG609:AJ609"/>
    <mergeCell ref="AK609:AN609"/>
    <mergeCell ref="AO609:AR609"/>
    <mergeCell ref="C616:X616"/>
    <mergeCell ref="Y616:AN616"/>
    <mergeCell ref="AO616:AR616"/>
    <mergeCell ref="C617:P617"/>
    <mergeCell ref="Q617:U617"/>
    <mergeCell ref="V617:X617"/>
    <mergeCell ref="Y617:AN617"/>
    <mergeCell ref="AO617:AR617"/>
    <mergeCell ref="C613:X613"/>
    <mergeCell ref="Y613:AF613"/>
    <mergeCell ref="AG613:AJ613"/>
    <mergeCell ref="AK613:AN613"/>
    <mergeCell ref="AO613:AR613"/>
    <mergeCell ref="C614:X614"/>
    <mergeCell ref="Y614:AN614"/>
    <mergeCell ref="AO614:AR614"/>
    <mergeCell ref="C612:E612"/>
    <mergeCell ref="F612:AB612"/>
    <mergeCell ref="AC612:AF612"/>
    <mergeCell ref="AG612:AJ612"/>
    <mergeCell ref="AK612:AN612"/>
    <mergeCell ref="AO612:AR612"/>
    <mergeCell ref="C622:E622"/>
    <mergeCell ref="F622:AB622"/>
    <mergeCell ref="AC622:AF622"/>
    <mergeCell ref="AG622:AJ622"/>
    <mergeCell ref="AK622:AN622"/>
    <mergeCell ref="AO622:AR622"/>
    <mergeCell ref="C621:E621"/>
    <mergeCell ref="F621:AB621"/>
    <mergeCell ref="AC621:AF621"/>
    <mergeCell ref="AG621:AJ621"/>
    <mergeCell ref="AK621:AN621"/>
    <mergeCell ref="AO621:AR621"/>
    <mergeCell ref="C619:E620"/>
    <mergeCell ref="F619:AB620"/>
    <mergeCell ref="AC619:AF620"/>
    <mergeCell ref="AG619:AJ620"/>
    <mergeCell ref="AK619:AN620"/>
    <mergeCell ref="AO619:AR620"/>
    <mergeCell ref="C625:E625"/>
    <mergeCell ref="F625:AB625"/>
    <mergeCell ref="AC625:AF625"/>
    <mergeCell ref="AG625:AJ625"/>
    <mergeCell ref="AK625:AN625"/>
    <mergeCell ref="AO625:AR625"/>
    <mergeCell ref="C624:E624"/>
    <mergeCell ref="F624:AB624"/>
    <mergeCell ref="AC624:AF624"/>
    <mergeCell ref="AG624:AJ624"/>
    <mergeCell ref="AK624:AN624"/>
    <mergeCell ref="AO624:AR624"/>
    <mergeCell ref="C623:E623"/>
    <mergeCell ref="F623:AB623"/>
    <mergeCell ref="AC623:AF623"/>
    <mergeCell ref="AG623:AJ623"/>
    <mergeCell ref="AK623:AN623"/>
    <mergeCell ref="AO623:AR623"/>
    <mergeCell ref="C628:E628"/>
    <mergeCell ref="F628:AB628"/>
    <mergeCell ref="AC628:AF628"/>
    <mergeCell ref="AG628:AJ628"/>
    <mergeCell ref="AK628:AN628"/>
    <mergeCell ref="AO628:AR628"/>
    <mergeCell ref="C627:E627"/>
    <mergeCell ref="F627:AB627"/>
    <mergeCell ref="AC627:AF627"/>
    <mergeCell ref="AG627:AJ627"/>
    <mergeCell ref="AK627:AN627"/>
    <mergeCell ref="AO627:AR627"/>
    <mergeCell ref="C626:E626"/>
    <mergeCell ref="F626:AB626"/>
    <mergeCell ref="AC626:AF626"/>
    <mergeCell ref="AG626:AJ626"/>
    <mergeCell ref="AK626:AN626"/>
    <mergeCell ref="AO626:AR626"/>
    <mergeCell ref="AK631:AN632"/>
    <mergeCell ref="AO631:AR632"/>
    <mergeCell ref="C633:E633"/>
    <mergeCell ref="F633:R633"/>
    <mergeCell ref="S633:U633"/>
    <mergeCell ref="V633:X633"/>
    <mergeCell ref="Y633:AD633"/>
    <mergeCell ref="AE633:AG633"/>
    <mergeCell ref="AH633:AJ633"/>
    <mergeCell ref="AK633:AN633"/>
    <mergeCell ref="C629:X629"/>
    <mergeCell ref="Y629:AN629"/>
    <mergeCell ref="AO629:AR629"/>
    <mergeCell ref="C631:E632"/>
    <mergeCell ref="F631:R632"/>
    <mergeCell ref="S631:U632"/>
    <mergeCell ref="V631:X632"/>
    <mergeCell ref="Y631:AD632"/>
    <mergeCell ref="AE631:AG632"/>
    <mergeCell ref="AH631:AJ632"/>
    <mergeCell ref="AH635:AJ635"/>
    <mergeCell ref="AK635:AN635"/>
    <mergeCell ref="AO635:AR635"/>
    <mergeCell ref="C636:E636"/>
    <mergeCell ref="F636:R636"/>
    <mergeCell ref="S636:U636"/>
    <mergeCell ref="V636:X636"/>
    <mergeCell ref="Y636:AD636"/>
    <mergeCell ref="AE636:AG636"/>
    <mergeCell ref="AH636:AJ636"/>
    <mergeCell ref="C635:E635"/>
    <mergeCell ref="F635:R635"/>
    <mergeCell ref="S635:U635"/>
    <mergeCell ref="V635:X635"/>
    <mergeCell ref="Y635:AD635"/>
    <mergeCell ref="AE635:AG635"/>
    <mergeCell ref="AO633:AR633"/>
    <mergeCell ref="C634:E634"/>
    <mergeCell ref="F634:R634"/>
    <mergeCell ref="S634:U634"/>
    <mergeCell ref="V634:X634"/>
    <mergeCell ref="Y634:AD634"/>
    <mergeCell ref="AE634:AG634"/>
    <mergeCell ref="AH634:AJ634"/>
    <mergeCell ref="AK634:AN634"/>
    <mergeCell ref="AO634:AR634"/>
    <mergeCell ref="AO637:AR637"/>
    <mergeCell ref="C638:E638"/>
    <mergeCell ref="F638:R638"/>
    <mergeCell ref="S638:U638"/>
    <mergeCell ref="V638:X638"/>
    <mergeCell ref="Y638:AD638"/>
    <mergeCell ref="AE638:AG638"/>
    <mergeCell ref="AH638:AJ638"/>
    <mergeCell ref="AK638:AN638"/>
    <mergeCell ref="AO638:AR638"/>
    <mergeCell ref="AK636:AN636"/>
    <mergeCell ref="AO636:AR636"/>
    <mergeCell ref="C637:E637"/>
    <mergeCell ref="F637:R637"/>
    <mergeCell ref="S637:U637"/>
    <mergeCell ref="V637:X637"/>
    <mergeCell ref="Y637:AD637"/>
    <mergeCell ref="AE637:AG637"/>
    <mergeCell ref="AH637:AJ637"/>
    <mergeCell ref="AK637:AN637"/>
    <mergeCell ref="AK640:AN640"/>
    <mergeCell ref="AO640:AR640"/>
    <mergeCell ref="C641:X641"/>
    <mergeCell ref="Y641:AN641"/>
    <mergeCell ref="AO641:AR641"/>
    <mergeCell ref="C643:X645"/>
    <mergeCell ref="Y643:AN643"/>
    <mergeCell ref="AO643:AR643"/>
    <mergeCell ref="Y644:AG644"/>
    <mergeCell ref="AH644:AN644"/>
    <mergeCell ref="AH639:AJ639"/>
    <mergeCell ref="AK639:AN639"/>
    <mergeCell ref="AO639:AR639"/>
    <mergeCell ref="C640:E640"/>
    <mergeCell ref="F640:R640"/>
    <mergeCell ref="S640:U640"/>
    <mergeCell ref="V640:X640"/>
    <mergeCell ref="Y640:AD640"/>
    <mergeCell ref="AE640:AG640"/>
    <mergeCell ref="AH640:AJ640"/>
    <mergeCell ref="C639:E639"/>
    <mergeCell ref="F639:R639"/>
    <mergeCell ref="S639:U639"/>
    <mergeCell ref="V639:X639"/>
    <mergeCell ref="Y639:AD639"/>
    <mergeCell ref="AE639:AG639"/>
    <mergeCell ref="C648:H648"/>
    <mergeCell ref="I648:J648"/>
    <mergeCell ref="K648:Z648"/>
    <mergeCell ref="AA648:AB648"/>
    <mergeCell ref="AC648:AR648"/>
    <mergeCell ref="C649:H649"/>
    <mergeCell ref="I649:J649"/>
    <mergeCell ref="K649:Z649"/>
    <mergeCell ref="AA649:AB649"/>
    <mergeCell ref="AC649:AR649"/>
    <mergeCell ref="AO644:AR644"/>
    <mergeCell ref="A645:B645"/>
    <mergeCell ref="Y645:AN645"/>
    <mergeCell ref="AO645:AR645"/>
    <mergeCell ref="C647:H647"/>
    <mergeCell ref="I647:J647"/>
    <mergeCell ref="K647:Z647"/>
    <mergeCell ref="AA647:AB647"/>
    <mergeCell ref="AC647:AR647"/>
    <mergeCell ref="C652:H652"/>
    <mergeCell ref="I652:J652"/>
    <mergeCell ref="K652:Z652"/>
    <mergeCell ref="AA652:AB652"/>
    <mergeCell ref="AC652:AR652"/>
    <mergeCell ref="C654:F654"/>
    <mergeCell ref="G654:AA654"/>
    <mergeCell ref="AB654:AI657"/>
    <mergeCell ref="AJ654:AR657"/>
    <mergeCell ref="C655:F655"/>
    <mergeCell ref="C650:H650"/>
    <mergeCell ref="I650:J650"/>
    <mergeCell ref="K650:Z650"/>
    <mergeCell ref="AA650:AB650"/>
    <mergeCell ref="AC650:AR650"/>
    <mergeCell ref="C651:H651"/>
    <mergeCell ref="I651:J651"/>
    <mergeCell ref="K651:Z651"/>
    <mergeCell ref="AA651:AB651"/>
    <mergeCell ref="AC651:AR651"/>
    <mergeCell ref="AP661:AR662"/>
    <mergeCell ref="C664:E665"/>
    <mergeCell ref="F664:U665"/>
    <mergeCell ref="V664:X665"/>
    <mergeCell ref="Y664:AF664"/>
    <mergeCell ref="AG664:AN664"/>
    <mergeCell ref="AO664:AR665"/>
    <mergeCell ref="Y665:AB665"/>
    <mergeCell ref="AC665:AF665"/>
    <mergeCell ref="AG665:AJ665"/>
    <mergeCell ref="G655:AA655"/>
    <mergeCell ref="C656:F656"/>
    <mergeCell ref="G656:AA656"/>
    <mergeCell ref="C657:AA657"/>
    <mergeCell ref="C659:AR660"/>
    <mergeCell ref="C661:F662"/>
    <mergeCell ref="G661:J662"/>
    <mergeCell ref="K661:N662"/>
    <mergeCell ref="O661:AK662"/>
    <mergeCell ref="AL661:AO662"/>
    <mergeCell ref="AO666:AR666"/>
    <mergeCell ref="C667:E667"/>
    <mergeCell ref="F667:U667"/>
    <mergeCell ref="V667:X667"/>
    <mergeCell ref="Y667:AB667"/>
    <mergeCell ref="AC667:AF667"/>
    <mergeCell ref="AG667:AJ667"/>
    <mergeCell ref="AK667:AN667"/>
    <mergeCell ref="AO667:AR667"/>
    <mergeCell ref="AK665:AN665"/>
    <mergeCell ref="C666:E666"/>
    <mergeCell ref="F666:U666"/>
    <mergeCell ref="V666:X666"/>
    <mergeCell ref="Y666:AB666"/>
    <mergeCell ref="AC666:AF666"/>
    <mergeCell ref="AG666:AJ666"/>
    <mergeCell ref="AK666:AN666"/>
    <mergeCell ref="AK670:AN670"/>
    <mergeCell ref="AO670:AR670"/>
    <mergeCell ref="C671:E671"/>
    <mergeCell ref="F671:U671"/>
    <mergeCell ref="V671:X671"/>
    <mergeCell ref="Y671:AB671"/>
    <mergeCell ref="AC671:AF671"/>
    <mergeCell ref="AG671:AJ671"/>
    <mergeCell ref="AK671:AN671"/>
    <mergeCell ref="AO671:AR671"/>
    <mergeCell ref="C670:E670"/>
    <mergeCell ref="F670:U670"/>
    <mergeCell ref="V670:X670"/>
    <mergeCell ref="Y670:AB670"/>
    <mergeCell ref="AC670:AF670"/>
    <mergeCell ref="AG670:AJ670"/>
    <mergeCell ref="AK668:AN668"/>
    <mergeCell ref="AO668:AR668"/>
    <mergeCell ref="C669:E669"/>
    <mergeCell ref="F669:U669"/>
    <mergeCell ref="V669:X669"/>
    <mergeCell ref="Y669:AB669"/>
    <mergeCell ref="AC669:AF669"/>
    <mergeCell ref="AG669:AJ669"/>
    <mergeCell ref="AK669:AN669"/>
    <mergeCell ref="AO669:AR669"/>
    <mergeCell ref="C668:E668"/>
    <mergeCell ref="F668:U668"/>
    <mergeCell ref="V668:X668"/>
    <mergeCell ref="Y668:AB668"/>
    <mergeCell ref="AC668:AF668"/>
    <mergeCell ref="AG668:AJ668"/>
    <mergeCell ref="C678:E678"/>
    <mergeCell ref="F678:AB678"/>
    <mergeCell ref="AC678:AF678"/>
    <mergeCell ref="AG678:AJ678"/>
    <mergeCell ref="AK678:AN678"/>
    <mergeCell ref="AO678:AR678"/>
    <mergeCell ref="C674:X674"/>
    <mergeCell ref="Y674:AN674"/>
    <mergeCell ref="AO674:AR674"/>
    <mergeCell ref="C676:E677"/>
    <mergeCell ref="F676:AB677"/>
    <mergeCell ref="AC676:AF677"/>
    <mergeCell ref="AG676:AJ677"/>
    <mergeCell ref="AK676:AN677"/>
    <mergeCell ref="AO676:AR677"/>
    <mergeCell ref="AK672:AN672"/>
    <mergeCell ref="AO672:AR672"/>
    <mergeCell ref="C673:E673"/>
    <mergeCell ref="F673:U673"/>
    <mergeCell ref="V673:X673"/>
    <mergeCell ref="Y673:AB673"/>
    <mergeCell ref="AC673:AF673"/>
    <mergeCell ref="AG673:AJ673"/>
    <mergeCell ref="AK673:AN673"/>
    <mergeCell ref="AO673:AR673"/>
    <mergeCell ref="C672:E672"/>
    <mergeCell ref="F672:U672"/>
    <mergeCell ref="V672:X672"/>
    <mergeCell ref="Y672:AB672"/>
    <mergeCell ref="AC672:AF672"/>
    <mergeCell ref="AG672:AJ672"/>
    <mergeCell ref="C681:E681"/>
    <mergeCell ref="F681:AB681"/>
    <mergeCell ref="AC681:AF681"/>
    <mergeCell ref="AG681:AJ681"/>
    <mergeCell ref="AK681:AN681"/>
    <mergeCell ref="AO681:AR681"/>
    <mergeCell ref="C680:E680"/>
    <mergeCell ref="F680:AB680"/>
    <mergeCell ref="AC680:AF680"/>
    <mergeCell ref="AG680:AJ680"/>
    <mergeCell ref="AK680:AN680"/>
    <mergeCell ref="AO680:AR680"/>
    <mergeCell ref="C679:E679"/>
    <mergeCell ref="F679:AB679"/>
    <mergeCell ref="AC679:AF679"/>
    <mergeCell ref="AG679:AJ679"/>
    <mergeCell ref="AK679:AN679"/>
    <mergeCell ref="AO679:AR679"/>
    <mergeCell ref="C684:E684"/>
    <mergeCell ref="F684:AB684"/>
    <mergeCell ref="AC684:AF684"/>
    <mergeCell ref="AG684:AJ684"/>
    <mergeCell ref="AK684:AN684"/>
    <mergeCell ref="AO684:AR684"/>
    <mergeCell ref="C683:E683"/>
    <mergeCell ref="F683:AB683"/>
    <mergeCell ref="AC683:AF683"/>
    <mergeCell ref="AG683:AJ683"/>
    <mergeCell ref="AK683:AN683"/>
    <mergeCell ref="AO683:AR683"/>
    <mergeCell ref="C682:E682"/>
    <mergeCell ref="F682:AB682"/>
    <mergeCell ref="AC682:AF682"/>
    <mergeCell ref="AG682:AJ682"/>
    <mergeCell ref="AK682:AN682"/>
    <mergeCell ref="AO682:AR682"/>
    <mergeCell ref="C689:X689"/>
    <mergeCell ref="Y689:AN689"/>
    <mergeCell ref="AO689:AR689"/>
    <mergeCell ref="C690:P690"/>
    <mergeCell ref="Q690:U690"/>
    <mergeCell ref="V690:X690"/>
    <mergeCell ref="Y690:AN690"/>
    <mergeCell ref="AO690:AR690"/>
    <mergeCell ref="C686:X686"/>
    <mergeCell ref="Y686:AF686"/>
    <mergeCell ref="AG686:AJ686"/>
    <mergeCell ref="AK686:AN686"/>
    <mergeCell ref="AO686:AR686"/>
    <mergeCell ref="C687:X687"/>
    <mergeCell ref="Y687:AN687"/>
    <mergeCell ref="AO687:AR687"/>
    <mergeCell ref="C685:E685"/>
    <mergeCell ref="F685:AB685"/>
    <mergeCell ref="AC685:AF685"/>
    <mergeCell ref="AG685:AJ685"/>
    <mergeCell ref="AK685:AN685"/>
    <mergeCell ref="AO685:AR685"/>
    <mergeCell ref="C695:E695"/>
    <mergeCell ref="F695:AB695"/>
    <mergeCell ref="AC695:AF695"/>
    <mergeCell ref="AG695:AJ695"/>
    <mergeCell ref="AK695:AN695"/>
    <mergeCell ref="AO695:AR695"/>
    <mergeCell ref="C694:E694"/>
    <mergeCell ref="F694:AB694"/>
    <mergeCell ref="AC694:AF694"/>
    <mergeCell ref="AG694:AJ694"/>
    <mergeCell ref="AK694:AN694"/>
    <mergeCell ref="AO694:AR694"/>
    <mergeCell ref="C692:E693"/>
    <mergeCell ref="F692:AB693"/>
    <mergeCell ref="AC692:AF693"/>
    <mergeCell ref="AG692:AJ693"/>
    <mergeCell ref="AK692:AN693"/>
    <mergeCell ref="AO692:AR693"/>
    <mergeCell ref="C698:E698"/>
    <mergeCell ref="F698:AB698"/>
    <mergeCell ref="AC698:AF698"/>
    <mergeCell ref="AG698:AJ698"/>
    <mergeCell ref="AK698:AN698"/>
    <mergeCell ref="AO698:AR698"/>
    <mergeCell ref="C697:E697"/>
    <mergeCell ref="F697:AB697"/>
    <mergeCell ref="AC697:AF697"/>
    <mergeCell ref="AG697:AJ697"/>
    <mergeCell ref="AK697:AN697"/>
    <mergeCell ref="AO697:AR697"/>
    <mergeCell ref="C696:E696"/>
    <mergeCell ref="F696:AB696"/>
    <mergeCell ref="AC696:AF696"/>
    <mergeCell ref="AG696:AJ696"/>
    <mergeCell ref="AK696:AN696"/>
    <mergeCell ref="AO696:AR696"/>
    <mergeCell ref="C701:E701"/>
    <mergeCell ref="F701:AB701"/>
    <mergeCell ref="AC701:AF701"/>
    <mergeCell ref="AG701:AJ701"/>
    <mergeCell ref="AK701:AN701"/>
    <mergeCell ref="AO701:AR701"/>
    <mergeCell ref="C700:E700"/>
    <mergeCell ref="F700:AB700"/>
    <mergeCell ref="AC700:AF700"/>
    <mergeCell ref="AG700:AJ700"/>
    <mergeCell ref="AK700:AN700"/>
    <mergeCell ref="AO700:AR700"/>
    <mergeCell ref="C699:E699"/>
    <mergeCell ref="F699:AB699"/>
    <mergeCell ref="AC699:AF699"/>
    <mergeCell ref="AG699:AJ699"/>
    <mergeCell ref="AK699:AN699"/>
    <mergeCell ref="AO699:AR699"/>
    <mergeCell ref="AK704:AN705"/>
    <mergeCell ref="AO704:AR705"/>
    <mergeCell ref="C706:E706"/>
    <mergeCell ref="F706:R706"/>
    <mergeCell ref="S706:U706"/>
    <mergeCell ref="V706:X706"/>
    <mergeCell ref="Y706:AD706"/>
    <mergeCell ref="AE706:AG706"/>
    <mergeCell ref="AH706:AJ706"/>
    <mergeCell ref="AK706:AN706"/>
    <mergeCell ref="C702:X702"/>
    <mergeCell ref="Y702:AN702"/>
    <mergeCell ref="AO702:AR702"/>
    <mergeCell ref="C704:E705"/>
    <mergeCell ref="F704:R705"/>
    <mergeCell ref="S704:U705"/>
    <mergeCell ref="V704:X705"/>
    <mergeCell ref="Y704:AD705"/>
    <mergeCell ref="AE704:AG705"/>
    <mergeCell ref="AH704:AJ705"/>
    <mergeCell ref="AH708:AJ708"/>
    <mergeCell ref="AK708:AN708"/>
    <mergeCell ref="AO708:AR708"/>
    <mergeCell ref="C709:E709"/>
    <mergeCell ref="F709:R709"/>
    <mergeCell ref="S709:U709"/>
    <mergeCell ref="V709:X709"/>
    <mergeCell ref="Y709:AD709"/>
    <mergeCell ref="AE709:AG709"/>
    <mergeCell ref="AH709:AJ709"/>
    <mergeCell ref="C708:E708"/>
    <mergeCell ref="F708:R708"/>
    <mergeCell ref="S708:U708"/>
    <mergeCell ref="V708:X708"/>
    <mergeCell ref="Y708:AD708"/>
    <mergeCell ref="AE708:AG708"/>
    <mergeCell ref="AO706:AR706"/>
    <mergeCell ref="C707:E707"/>
    <mergeCell ref="F707:R707"/>
    <mergeCell ref="S707:U707"/>
    <mergeCell ref="V707:X707"/>
    <mergeCell ref="Y707:AD707"/>
    <mergeCell ref="AE707:AG707"/>
    <mergeCell ref="AH707:AJ707"/>
    <mergeCell ref="AK707:AN707"/>
    <mergeCell ref="AO707:AR707"/>
    <mergeCell ref="AO710:AR710"/>
    <mergeCell ref="C711:E711"/>
    <mergeCell ref="F711:R711"/>
    <mergeCell ref="S711:U711"/>
    <mergeCell ref="V711:X711"/>
    <mergeCell ref="Y711:AD711"/>
    <mergeCell ref="AE711:AG711"/>
    <mergeCell ref="AH711:AJ711"/>
    <mergeCell ref="AK711:AN711"/>
    <mergeCell ref="AO711:AR711"/>
    <mergeCell ref="AK709:AN709"/>
    <mergeCell ref="AO709:AR709"/>
    <mergeCell ref="C710:E710"/>
    <mergeCell ref="F710:R710"/>
    <mergeCell ref="S710:U710"/>
    <mergeCell ref="V710:X710"/>
    <mergeCell ref="Y710:AD710"/>
    <mergeCell ref="AE710:AG710"/>
    <mergeCell ref="AH710:AJ710"/>
    <mergeCell ref="AK710:AN710"/>
    <mergeCell ref="AK713:AN713"/>
    <mergeCell ref="AO713:AR713"/>
    <mergeCell ref="C714:X714"/>
    <mergeCell ref="Y714:AN714"/>
    <mergeCell ref="AO714:AR714"/>
    <mergeCell ref="C716:X718"/>
    <mergeCell ref="Y716:AN716"/>
    <mergeCell ref="AO716:AR716"/>
    <mergeCell ref="Y717:AG717"/>
    <mergeCell ref="AH717:AN717"/>
    <mergeCell ref="AH712:AJ712"/>
    <mergeCell ref="AK712:AN712"/>
    <mergeCell ref="AO712:AR712"/>
    <mergeCell ref="C713:E713"/>
    <mergeCell ref="F713:R713"/>
    <mergeCell ref="S713:U713"/>
    <mergeCell ref="V713:X713"/>
    <mergeCell ref="Y713:AD713"/>
    <mergeCell ref="AE713:AG713"/>
    <mergeCell ref="AH713:AJ713"/>
    <mergeCell ref="C712:E712"/>
    <mergeCell ref="F712:R712"/>
    <mergeCell ref="S712:U712"/>
    <mergeCell ref="V712:X712"/>
    <mergeCell ref="Y712:AD712"/>
    <mergeCell ref="AE712:AG712"/>
    <mergeCell ref="C721:H721"/>
    <mergeCell ref="I721:J721"/>
    <mergeCell ref="K721:Z721"/>
    <mergeCell ref="AA721:AB721"/>
    <mergeCell ref="AC721:AR721"/>
    <mergeCell ref="C722:H722"/>
    <mergeCell ref="I722:J722"/>
    <mergeCell ref="K722:Z722"/>
    <mergeCell ref="AA722:AB722"/>
    <mergeCell ref="AC722:AR722"/>
    <mergeCell ref="AO717:AR717"/>
    <mergeCell ref="A718:B718"/>
    <mergeCell ref="Y718:AN718"/>
    <mergeCell ref="AO718:AR718"/>
    <mergeCell ref="C720:H720"/>
    <mergeCell ref="I720:J720"/>
    <mergeCell ref="K720:Z720"/>
    <mergeCell ref="AA720:AB720"/>
    <mergeCell ref="AC720:AR720"/>
    <mergeCell ref="C725:H725"/>
    <mergeCell ref="I725:J725"/>
    <mergeCell ref="K725:Z725"/>
    <mergeCell ref="AA725:AB725"/>
    <mergeCell ref="AC725:AR725"/>
    <mergeCell ref="C727:F727"/>
    <mergeCell ref="G727:AA727"/>
    <mergeCell ref="AB727:AI730"/>
    <mergeCell ref="AJ727:AR730"/>
    <mergeCell ref="C728:F728"/>
    <mergeCell ref="C723:H723"/>
    <mergeCell ref="I723:J723"/>
    <mergeCell ref="K723:Z723"/>
    <mergeCell ref="AA723:AB723"/>
    <mergeCell ref="AC723:AR723"/>
    <mergeCell ref="C724:H724"/>
    <mergeCell ref="I724:J724"/>
    <mergeCell ref="K724:Z724"/>
    <mergeCell ref="AA724:AB724"/>
    <mergeCell ref="AC724:AR724"/>
    <mergeCell ref="AP734:AR735"/>
    <mergeCell ref="C737:E738"/>
    <mergeCell ref="F737:U738"/>
    <mergeCell ref="V737:X738"/>
    <mergeCell ref="Y737:AF737"/>
    <mergeCell ref="AG737:AN737"/>
    <mergeCell ref="AO737:AR738"/>
    <mergeCell ref="Y738:AB738"/>
    <mergeCell ref="AC738:AF738"/>
    <mergeCell ref="AG738:AJ738"/>
    <mergeCell ref="G728:AA728"/>
    <mergeCell ref="C729:F729"/>
    <mergeCell ref="G729:AA729"/>
    <mergeCell ref="C730:AA730"/>
    <mergeCell ref="C732:AR733"/>
    <mergeCell ref="C734:F735"/>
    <mergeCell ref="G734:J735"/>
    <mergeCell ref="K734:N735"/>
    <mergeCell ref="O734:AK735"/>
    <mergeCell ref="AL734:AO735"/>
    <mergeCell ref="AO739:AR739"/>
    <mergeCell ref="C740:E740"/>
    <mergeCell ref="F740:U740"/>
    <mergeCell ref="V740:X740"/>
    <mergeCell ref="Y740:AB740"/>
    <mergeCell ref="AC740:AF740"/>
    <mergeCell ref="AG740:AJ740"/>
    <mergeCell ref="AK740:AN740"/>
    <mergeCell ref="AO740:AR740"/>
    <mergeCell ref="AK738:AN738"/>
    <mergeCell ref="C739:E739"/>
    <mergeCell ref="F739:U739"/>
    <mergeCell ref="V739:X739"/>
    <mergeCell ref="Y739:AB739"/>
    <mergeCell ref="AC739:AF739"/>
    <mergeCell ref="AG739:AJ739"/>
    <mergeCell ref="AK739:AN739"/>
    <mergeCell ref="AK743:AN743"/>
    <mergeCell ref="AO743:AR743"/>
    <mergeCell ref="C744:E744"/>
    <mergeCell ref="F744:U744"/>
    <mergeCell ref="V744:X744"/>
    <mergeCell ref="Y744:AB744"/>
    <mergeCell ref="AC744:AF744"/>
    <mergeCell ref="AG744:AJ744"/>
    <mergeCell ref="AK744:AN744"/>
    <mergeCell ref="AO744:AR744"/>
    <mergeCell ref="C743:E743"/>
    <mergeCell ref="F743:U743"/>
    <mergeCell ref="V743:X743"/>
    <mergeCell ref="Y743:AB743"/>
    <mergeCell ref="AC743:AF743"/>
    <mergeCell ref="AG743:AJ743"/>
    <mergeCell ref="AK741:AN741"/>
    <mergeCell ref="AO741:AR741"/>
    <mergeCell ref="C742:E742"/>
    <mergeCell ref="F742:U742"/>
    <mergeCell ref="V742:X742"/>
    <mergeCell ref="Y742:AB742"/>
    <mergeCell ref="AC742:AF742"/>
    <mergeCell ref="AG742:AJ742"/>
    <mergeCell ref="AK742:AN742"/>
    <mergeCell ref="AO742:AR742"/>
    <mergeCell ref="C741:E741"/>
    <mergeCell ref="F741:U741"/>
    <mergeCell ref="V741:X741"/>
    <mergeCell ref="Y741:AB741"/>
    <mergeCell ref="AC741:AF741"/>
    <mergeCell ref="AG741:AJ741"/>
    <mergeCell ref="C751:E751"/>
    <mergeCell ref="F751:AB751"/>
    <mergeCell ref="AC751:AF751"/>
    <mergeCell ref="AG751:AJ751"/>
    <mergeCell ref="AK751:AN751"/>
    <mergeCell ref="AO751:AR751"/>
    <mergeCell ref="C747:X747"/>
    <mergeCell ref="Y747:AN747"/>
    <mergeCell ref="AO747:AR747"/>
    <mergeCell ref="C749:E750"/>
    <mergeCell ref="F749:AB750"/>
    <mergeCell ref="AC749:AF750"/>
    <mergeCell ref="AG749:AJ750"/>
    <mergeCell ref="AK749:AN750"/>
    <mergeCell ref="AO749:AR750"/>
    <mergeCell ref="AK745:AN745"/>
    <mergeCell ref="AO745:AR745"/>
    <mergeCell ref="C746:E746"/>
    <mergeCell ref="F746:U746"/>
    <mergeCell ref="V746:X746"/>
    <mergeCell ref="Y746:AB746"/>
    <mergeCell ref="AC746:AF746"/>
    <mergeCell ref="AG746:AJ746"/>
    <mergeCell ref="AK746:AN746"/>
    <mergeCell ref="AO746:AR746"/>
    <mergeCell ref="C745:E745"/>
    <mergeCell ref="F745:U745"/>
    <mergeCell ref="V745:X745"/>
    <mergeCell ref="Y745:AB745"/>
    <mergeCell ref="AC745:AF745"/>
    <mergeCell ref="AG745:AJ745"/>
    <mergeCell ref="C754:E754"/>
    <mergeCell ref="F754:AB754"/>
    <mergeCell ref="AC754:AF754"/>
    <mergeCell ref="AG754:AJ754"/>
    <mergeCell ref="AK754:AN754"/>
    <mergeCell ref="AO754:AR754"/>
    <mergeCell ref="C753:E753"/>
    <mergeCell ref="F753:AB753"/>
    <mergeCell ref="AC753:AF753"/>
    <mergeCell ref="AG753:AJ753"/>
    <mergeCell ref="AK753:AN753"/>
    <mergeCell ref="AO753:AR753"/>
    <mergeCell ref="C752:E752"/>
    <mergeCell ref="F752:AB752"/>
    <mergeCell ref="AC752:AF752"/>
    <mergeCell ref="AG752:AJ752"/>
    <mergeCell ref="AK752:AN752"/>
    <mergeCell ref="AO752:AR752"/>
    <mergeCell ref="C757:E757"/>
    <mergeCell ref="F757:AB757"/>
    <mergeCell ref="AC757:AF757"/>
    <mergeCell ref="AG757:AJ757"/>
    <mergeCell ref="AK757:AN757"/>
    <mergeCell ref="AO757:AR757"/>
    <mergeCell ref="C756:E756"/>
    <mergeCell ref="F756:AB756"/>
    <mergeCell ref="AC756:AF756"/>
    <mergeCell ref="AG756:AJ756"/>
    <mergeCell ref="AK756:AN756"/>
    <mergeCell ref="AO756:AR756"/>
    <mergeCell ref="C755:E755"/>
    <mergeCell ref="F755:AB755"/>
    <mergeCell ref="AC755:AF755"/>
    <mergeCell ref="AG755:AJ755"/>
    <mergeCell ref="AK755:AN755"/>
    <mergeCell ref="AO755:AR755"/>
    <mergeCell ref="C762:X762"/>
    <mergeCell ref="Y762:AN762"/>
    <mergeCell ref="AO762:AR762"/>
    <mergeCell ref="C763:P763"/>
    <mergeCell ref="Q763:U763"/>
    <mergeCell ref="V763:X763"/>
    <mergeCell ref="Y763:AN763"/>
    <mergeCell ref="AO763:AR763"/>
    <mergeCell ref="C759:X759"/>
    <mergeCell ref="Y759:AF759"/>
    <mergeCell ref="AG759:AJ759"/>
    <mergeCell ref="AK759:AN759"/>
    <mergeCell ref="AO759:AR759"/>
    <mergeCell ref="C760:X760"/>
    <mergeCell ref="Y760:AN760"/>
    <mergeCell ref="AO760:AR760"/>
    <mergeCell ref="C758:E758"/>
    <mergeCell ref="F758:AB758"/>
    <mergeCell ref="AC758:AF758"/>
    <mergeCell ref="AG758:AJ758"/>
    <mergeCell ref="AK758:AN758"/>
    <mergeCell ref="AO758:AR758"/>
    <mergeCell ref="C768:E768"/>
    <mergeCell ref="F768:AB768"/>
    <mergeCell ref="AC768:AF768"/>
    <mergeCell ref="AG768:AJ768"/>
    <mergeCell ref="AK768:AN768"/>
    <mergeCell ref="AO768:AR768"/>
    <mergeCell ref="C767:E767"/>
    <mergeCell ref="F767:AB767"/>
    <mergeCell ref="AC767:AF767"/>
    <mergeCell ref="AG767:AJ767"/>
    <mergeCell ref="AK767:AN767"/>
    <mergeCell ref="AO767:AR767"/>
    <mergeCell ref="C765:E766"/>
    <mergeCell ref="F765:AB766"/>
    <mergeCell ref="AC765:AF766"/>
    <mergeCell ref="AG765:AJ766"/>
    <mergeCell ref="AK765:AN766"/>
    <mergeCell ref="AO765:AR766"/>
    <mergeCell ref="C771:E771"/>
    <mergeCell ref="F771:AB771"/>
    <mergeCell ref="AC771:AF771"/>
    <mergeCell ref="AG771:AJ771"/>
    <mergeCell ref="AK771:AN771"/>
    <mergeCell ref="AO771:AR771"/>
    <mergeCell ref="C770:E770"/>
    <mergeCell ref="F770:AB770"/>
    <mergeCell ref="AC770:AF770"/>
    <mergeCell ref="AG770:AJ770"/>
    <mergeCell ref="AK770:AN770"/>
    <mergeCell ref="AO770:AR770"/>
    <mergeCell ref="C769:E769"/>
    <mergeCell ref="F769:AB769"/>
    <mergeCell ref="AC769:AF769"/>
    <mergeCell ref="AG769:AJ769"/>
    <mergeCell ref="AK769:AN769"/>
    <mergeCell ref="AO769:AR769"/>
    <mergeCell ref="C774:E774"/>
    <mergeCell ref="F774:AB774"/>
    <mergeCell ref="AC774:AF774"/>
    <mergeCell ref="AG774:AJ774"/>
    <mergeCell ref="AK774:AN774"/>
    <mergeCell ref="AO774:AR774"/>
    <mergeCell ref="C773:E773"/>
    <mergeCell ref="F773:AB773"/>
    <mergeCell ref="AC773:AF773"/>
    <mergeCell ref="AG773:AJ773"/>
    <mergeCell ref="AK773:AN773"/>
    <mergeCell ref="AO773:AR773"/>
    <mergeCell ref="C772:E772"/>
    <mergeCell ref="F772:AB772"/>
    <mergeCell ref="AC772:AF772"/>
    <mergeCell ref="AG772:AJ772"/>
    <mergeCell ref="AK772:AN772"/>
    <mergeCell ref="AO772:AR772"/>
    <mergeCell ref="AK777:AN778"/>
    <mergeCell ref="AO777:AR778"/>
    <mergeCell ref="C779:E779"/>
    <mergeCell ref="F779:R779"/>
    <mergeCell ref="S779:U779"/>
    <mergeCell ref="V779:X779"/>
    <mergeCell ref="Y779:AD779"/>
    <mergeCell ref="AE779:AG779"/>
    <mergeCell ref="AH779:AJ779"/>
    <mergeCell ref="AK779:AN779"/>
    <mergeCell ref="C775:X775"/>
    <mergeCell ref="Y775:AN775"/>
    <mergeCell ref="AO775:AR775"/>
    <mergeCell ref="C777:E778"/>
    <mergeCell ref="F777:R778"/>
    <mergeCell ref="S777:U778"/>
    <mergeCell ref="V777:X778"/>
    <mergeCell ref="Y777:AD778"/>
    <mergeCell ref="AE777:AG778"/>
    <mergeCell ref="AH777:AJ778"/>
    <mergeCell ref="AH781:AJ781"/>
    <mergeCell ref="AK781:AN781"/>
    <mergeCell ref="AO781:AR781"/>
    <mergeCell ref="C782:E782"/>
    <mergeCell ref="F782:R782"/>
    <mergeCell ref="S782:U782"/>
    <mergeCell ref="V782:X782"/>
    <mergeCell ref="Y782:AD782"/>
    <mergeCell ref="AE782:AG782"/>
    <mergeCell ref="AH782:AJ782"/>
    <mergeCell ref="C781:E781"/>
    <mergeCell ref="F781:R781"/>
    <mergeCell ref="S781:U781"/>
    <mergeCell ref="V781:X781"/>
    <mergeCell ref="Y781:AD781"/>
    <mergeCell ref="AE781:AG781"/>
    <mergeCell ref="AO779:AR779"/>
    <mergeCell ref="C780:E780"/>
    <mergeCell ref="F780:R780"/>
    <mergeCell ref="S780:U780"/>
    <mergeCell ref="V780:X780"/>
    <mergeCell ref="Y780:AD780"/>
    <mergeCell ref="AE780:AG780"/>
    <mergeCell ref="AH780:AJ780"/>
    <mergeCell ref="AK780:AN780"/>
    <mergeCell ref="AO780:AR780"/>
    <mergeCell ref="AO783:AR783"/>
    <mergeCell ref="C784:E784"/>
    <mergeCell ref="F784:R784"/>
    <mergeCell ref="S784:U784"/>
    <mergeCell ref="V784:X784"/>
    <mergeCell ref="Y784:AD784"/>
    <mergeCell ref="AE784:AG784"/>
    <mergeCell ref="AH784:AJ784"/>
    <mergeCell ref="AK784:AN784"/>
    <mergeCell ref="AO784:AR784"/>
    <mergeCell ref="AK782:AN782"/>
    <mergeCell ref="AO782:AR782"/>
    <mergeCell ref="C783:E783"/>
    <mergeCell ref="F783:R783"/>
    <mergeCell ref="S783:U783"/>
    <mergeCell ref="V783:X783"/>
    <mergeCell ref="Y783:AD783"/>
    <mergeCell ref="AE783:AG783"/>
    <mergeCell ref="AH783:AJ783"/>
    <mergeCell ref="AK783:AN783"/>
    <mergeCell ref="AK786:AN786"/>
    <mergeCell ref="AO786:AR786"/>
    <mergeCell ref="C787:X787"/>
    <mergeCell ref="Y787:AN787"/>
    <mergeCell ref="AO787:AR787"/>
    <mergeCell ref="C789:X791"/>
    <mergeCell ref="Y789:AN789"/>
    <mergeCell ref="AO789:AR789"/>
    <mergeCell ref="Y790:AG790"/>
    <mergeCell ref="AH790:AN790"/>
    <mergeCell ref="AH785:AJ785"/>
    <mergeCell ref="AK785:AN785"/>
    <mergeCell ref="AO785:AR785"/>
    <mergeCell ref="C786:E786"/>
    <mergeCell ref="F786:R786"/>
    <mergeCell ref="S786:U786"/>
    <mergeCell ref="V786:X786"/>
    <mergeCell ref="Y786:AD786"/>
    <mergeCell ref="AE786:AG786"/>
    <mergeCell ref="AH786:AJ786"/>
    <mergeCell ref="C785:E785"/>
    <mergeCell ref="F785:R785"/>
    <mergeCell ref="S785:U785"/>
    <mergeCell ref="V785:X785"/>
    <mergeCell ref="Y785:AD785"/>
    <mergeCell ref="AE785:AG785"/>
    <mergeCell ref="C794:H794"/>
    <mergeCell ref="I794:J794"/>
    <mergeCell ref="K794:Z794"/>
    <mergeCell ref="AA794:AB794"/>
    <mergeCell ref="AC794:AR794"/>
    <mergeCell ref="C795:H795"/>
    <mergeCell ref="I795:J795"/>
    <mergeCell ref="K795:Z795"/>
    <mergeCell ref="AA795:AB795"/>
    <mergeCell ref="AC795:AR795"/>
    <mergeCell ref="AO790:AR790"/>
    <mergeCell ref="A791:B791"/>
    <mergeCell ref="Y791:AN791"/>
    <mergeCell ref="AO791:AR791"/>
    <mergeCell ref="C793:H793"/>
    <mergeCell ref="I793:J793"/>
    <mergeCell ref="K793:Z793"/>
    <mergeCell ref="AA793:AB793"/>
    <mergeCell ref="AC793:AR793"/>
    <mergeCell ref="C798:H798"/>
    <mergeCell ref="I798:J798"/>
    <mergeCell ref="K798:Z798"/>
    <mergeCell ref="AA798:AB798"/>
    <mergeCell ref="AC798:AR798"/>
    <mergeCell ref="C800:F800"/>
    <mergeCell ref="G800:AA800"/>
    <mergeCell ref="AB800:AI803"/>
    <mergeCell ref="AJ800:AR803"/>
    <mergeCell ref="C801:F801"/>
    <mergeCell ref="C796:H796"/>
    <mergeCell ref="I796:J796"/>
    <mergeCell ref="K796:Z796"/>
    <mergeCell ref="AA796:AB796"/>
    <mergeCell ref="AC796:AR796"/>
    <mergeCell ref="C797:H797"/>
    <mergeCell ref="I797:J797"/>
    <mergeCell ref="K797:Z797"/>
    <mergeCell ref="AA797:AB797"/>
    <mergeCell ref="AC797:AR797"/>
    <mergeCell ref="AP807:AR808"/>
    <mergeCell ref="C810:E811"/>
    <mergeCell ref="F810:U811"/>
    <mergeCell ref="V810:X811"/>
    <mergeCell ref="Y810:AF810"/>
    <mergeCell ref="AG810:AN810"/>
    <mergeCell ref="AO810:AR811"/>
    <mergeCell ref="Y811:AB811"/>
    <mergeCell ref="AC811:AF811"/>
    <mergeCell ref="AG811:AJ811"/>
    <mergeCell ref="G801:AA801"/>
    <mergeCell ref="C802:F802"/>
    <mergeCell ref="G802:AA802"/>
    <mergeCell ref="C803:AA803"/>
    <mergeCell ref="C805:AR806"/>
    <mergeCell ref="C807:F808"/>
    <mergeCell ref="G807:J808"/>
    <mergeCell ref="K807:N808"/>
    <mergeCell ref="O807:AK808"/>
    <mergeCell ref="AL807:AO808"/>
    <mergeCell ref="AO812:AR812"/>
    <mergeCell ref="C813:E813"/>
    <mergeCell ref="F813:U813"/>
    <mergeCell ref="V813:X813"/>
    <mergeCell ref="Y813:AB813"/>
    <mergeCell ref="AC813:AF813"/>
    <mergeCell ref="AG813:AJ813"/>
    <mergeCell ref="AK813:AN813"/>
    <mergeCell ref="AO813:AR813"/>
    <mergeCell ref="AK811:AN811"/>
    <mergeCell ref="C812:E812"/>
    <mergeCell ref="F812:U812"/>
    <mergeCell ref="V812:X812"/>
    <mergeCell ref="Y812:AB812"/>
    <mergeCell ref="AC812:AF812"/>
    <mergeCell ref="AG812:AJ812"/>
    <mergeCell ref="AK812:AN812"/>
    <mergeCell ref="AK816:AN816"/>
    <mergeCell ref="AO816:AR816"/>
    <mergeCell ref="C817:E817"/>
    <mergeCell ref="F817:U817"/>
    <mergeCell ref="V817:X817"/>
    <mergeCell ref="Y817:AB817"/>
    <mergeCell ref="AC817:AF817"/>
    <mergeCell ref="AG817:AJ817"/>
    <mergeCell ref="AK817:AN817"/>
    <mergeCell ref="AO817:AR817"/>
    <mergeCell ref="C816:E816"/>
    <mergeCell ref="F816:U816"/>
    <mergeCell ref="V816:X816"/>
    <mergeCell ref="Y816:AB816"/>
    <mergeCell ref="AC816:AF816"/>
    <mergeCell ref="AG816:AJ816"/>
    <mergeCell ref="AK814:AN814"/>
    <mergeCell ref="AO814:AR814"/>
    <mergeCell ref="C815:E815"/>
    <mergeCell ref="F815:U815"/>
    <mergeCell ref="V815:X815"/>
    <mergeCell ref="Y815:AB815"/>
    <mergeCell ref="AC815:AF815"/>
    <mergeCell ref="AG815:AJ815"/>
    <mergeCell ref="AK815:AN815"/>
    <mergeCell ref="AO815:AR815"/>
    <mergeCell ref="C814:E814"/>
    <mergeCell ref="F814:U814"/>
    <mergeCell ref="V814:X814"/>
    <mergeCell ref="Y814:AB814"/>
    <mergeCell ref="AC814:AF814"/>
    <mergeCell ref="AG814:AJ814"/>
    <mergeCell ref="C824:E824"/>
    <mergeCell ref="F824:AB824"/>
    <mergeCell ref="AC824:AF824"/>
    <mergeCell ref="AG824:AJ824"/>
    <mergeCell ref="AK824:AN824"/>
    <mergeCell ref="AO824:AR824"/>
    <mergeCell ref="C820:X820"/>
    <mergeCell ref="Y820:AN820"/>
    <mergeCell ref="AO820:AR820"/>
    <mergeCell ref="C822:E823"/>
    <mergeCell ref="F822:AB823"/>
    <mergeCell ref="AC822:AF823"/>
    <mergeCell ref="AG822:AJ823"/>
    <mergeCell ref="AK822:AN823"/>
    <mergeCell ref="AO822:AR823"/>
    <mergeCell ref="AK818:AN818"/>
    <mergeCell ref="AO818:AR818"/>
    <mergeCell ref="C819:E819"/>
    <mergeCell ref="F819:U819"/>
    <mergeCell ref="V819:X819"/>
    <mergeCell ref="Y819:AB819"/>
    <mergeCell ref="AC819:AF819"/>
    <mergeCell ref="AG819:AJ819"/>
    <mergeCell ref="AK819:AN819"/>
    <mergeCell ref="AO819:AR819"/>
    <mergeCell ref="C818:E818"/>
    <mergeCell ref="F818:U818"/>
    <mergeCell ref="V818:X818"/>
    <mergeCell ref="Y818:AB818"/>
    <mergeCell ref="AC818:AF818"/>
    <mergeCell ref="AG818:AJ818"/>
    <mergeCell ref="C827:E827"/>
    <mergeCell ref="F827:AB827"/>
    <mergeCell ref="AC827:AF827"/>
    <mergeCell ref="AG827:AJ827"/>
    <mergeCell ref="AK827:AN827"/>
    <mergeCell ref="AO827:AR827"/>
    <mergeCell ref="C826:E826"/>
    <mergeCell ref="F826:AB826"/>
    <mergeCell ref="AC826:AF826"/>
    <mergeCell ref="AG826:AJ826"/>
    <mergeCell ref="AK826:AN826"/>
    <mergeCell ref="AO826:AR826"/>
    <mergeCell ref="C825:E825"/>
    <mergeCell ref="F825:AB825"/>
    <mergeCell ref="AC825:AF825"/>
    <mergeCell ref="AG825:AJ825"/>
    <mergeCell ref="AK825:AN825"/>
    <mergeCell ref="AO825:AR825"/>
    <mergeCell ref="C830:E830"/>
    <mergeCell ref="F830:AB830"/>
    <mergeCell ref="AC830:AF830"/>
    <mergeCell ref="AG830:AJ830"/>
    <mergeCell ref="AK830:AN830"/>
    <mergeCell ref="AO830:AR830"/>
    <mergeCell ref="C829:E829"/>
    <mergeCell ref="F829:AB829"/>
    <mergeCell ref="AC829:AF829"/>
    <mergeCell ref="AG829:AJ829"/>
    <mergeCell ref="AK829:AN829"/>
    <mergeCell ref="AO829:AR829"/>
    <mergeCell ref="C828:E828"/>
    <mergeCell ref="F828:AB828"/>
    <mergeCell ref="AC828:AF828"/>
    <mergeCell ref="AG828:AJ828"/>
    <mergeCell ref="AK828:AN828"/>
    <mergeCell ref="AO828:AR828"/>
    <mergeCell ref="C835:X835"/>
    <mergeCell ref="Y835:AN835"/>
    <mergeCell ref="AO835:AR835"/>
    <mergeCell ref="C836:P836"/>
    <mergeCell ref="Q836:U836"/>
    <mergeCell ref="V836:X836"/>
    <mergeCell ref="Y836:AN836"/>
    <mergeCell ref="AO836:AR836"/>
    <mergeCell ref="C832:X832"/>
    <mergeCell ref="Y832:AF832"/>
    <mergeCell ref="AG832:AJ832"/>
    <mergeCell ref="AK832:AN832"/>
    <mergeCell ref="AO832:AR832"/>
    <mergeCell ref="C833:X833"/>
    <mergeCell ref="Y833:AN833"/>
    <mergeCell ref="AO833:AR833"/>
    <mergeCell ref="C831:E831"/>
    <mergeCell ref="F831:AB831"/>
    <mergeCell ref="AC831:AF831"/>
    <mergeCell ref="AG831:AJ831"/>
    <mergeCell ref="AK831:AN831"/>
    <mergeCell ref="AO831:AR831"/>
    <mergeCell ref="C841:E841"/>
    <mergeCell ref="F841:AB841"/>
    <mergeCell ref="AC841:AF841"/>
    <mergeCell ref="AG841:AJ841"/>
    <mergeCell ref="AK841:AN841"/>
    <mergeCell ref="AO841:AR841"/>
    <mergeCell ref="C840:E840"/>
    <mergeCell ref="F840:AB840"/>
    <mergeCell ref="AC840:AF840"/>
    <mergeCell ref="AG840:AJ840"/>
    <mergeCell ref="AK840:AN840"/>
    <mergeCell ref="AO840:AR840"/>
    <mergeCell ref="C838:E839"/>
    <mergeCell ref="F838:AB839"/>
    <mergeCell ref="AC838:AF839"/>
    <mergeCell ref="AG838:AJ839"/>
    <mergeCell ref="AK838:AN839"/>
    <mergeCell ref="AO838:AR839"/>
    <mergeCell ref="C844:E844"/>
    <mergeCell ref="F844:AB844"/>
    <mergeCell ref="AC844:AF844"/>
    <mergeCell ref="AG844:AJ844"/>
    <mergeCell ref="AK844:AN844"/>
    <mergeCell ref="AO844:AR844"/>
    <mergeCell ref="C843:E843"/>
    <mergeCell ref="F843:AB843"/>
    <mergeCell ref="AC843:AF843"/>
    <mergeCell ref="AG843:AJ843"/>
    <mergeCell ref="AK843:AN843"/>
    <mergeCell ref="AO843:AR843"/>
    <mergeCell ref="C842:E842"/>
    <mergeCell ref="F842:AB842"/>
    <mergeCell ref="AC842:AF842"/>
    <mergeCell ref="AG842:AJ842"/>
    <mergeCell ref="AK842:AN842"/>
    <mergeCell ref="AO842:AR842"/>
    <mergeCell ref="C847:E847"/>
    <mergeCell ref="F847:AB847"/>
    <mergeCell ref="AC847:AF847"/>
    <mergeCell ref="AG847:AJ847"/>
    <mergeCell ref="AK847:AN847"/>
    <mergeCell ref="AO847:AR847"/>
    <mergeCell ref="C846:E846"/>
    <mergeCell ref="F846:AB846"/>
    <mergeCell ref="AC846:AF846"/>
    <mergeCell ref="AG846:AJ846"/>
    <mergeCell ref="AK846:AN846"/>
    <mergeCell ref="AO846:AR846"/>
    <mergeCell ref="C845:E845"/>
    <mergeCell ref="F845:AB845"/>
    <mergeCell ref="AC845:AF845"/>
    <mergeCell ref="AG845:AJ845"/>
    <mergeCell ref="AK845:AN845"/>
    <mergeCell ref="AO845:AR845"/>
    <mergeCell ref="AK850:AN851"/>
    <mergeCell ref="AO850:AR851"/>
    <mergeCell ref="C852:E852"/>
    <mergeCell ref="F852:R852"/>
    <mergeCell ref="S852:U852"/>
    <mergeCell ref="V852:X852"/>
    <mergeCell ref="Y852:AD852"/>
    <mergeCell ref="AE852:AG852"/>
    <mergeCell ref="AH852:AJ852"/>
    <mergeCell ref="AK852:AN852"/>
    <mergeCell ref="C848:X848"/>
    <mergeCell ref="Y848:AN848"/>
    <mergeCell ref="AO848:AR848"/>
    <mergeCell ref="C850:E851"/>
    <mergeCell ref="F850:R851"/>
    <mergeCell ref="S850:U851"/>
    <mergeCell ref="V850:X851"/>
    <mergeCell ref="Y850:AD851"/>
    <mergeCell ref="AE850:AG851"/>
    <mergeCell ref="AH850:AJ851"/>
    <mergeCell ref="AH854:AJ854"/>
    <mergeCell ref="AK854:AN854"/>
    <mergeCell ref="AO854:AR854"/>
    <mergeCell ref="C855:E855"/>
    <mergeCell ref="F855:R855"/>
    <mergeCell ref="S855:U855"/>
    <mergeCell ref="V855:X855"/>
    <mergeCell ref="Y855:AD855"/>
    <mergeCell ref="AE855:AG855"/>
    <mergeCell ref="AH855:AJ855"/>
    <mergeCell ref="C854:E854"/>
    <mergeCell ref="F854:R854"/>
    <mergeCell ref="S854:U854"/>
    <mergeCell ref="V854:X854"/>
    <mergeCell ref="Y854:AD854"/>
    <mergeCell ref="AE854:AG854"/>
    <mergeCell ref="AO852:AR852"/>
    <mergeCell ref="C853:E853"/>
    <mergeCell ref="F853:R853"/>
    <mergeCell ref="S853:U853"/>
    <mergeCell ref="V853:X853"/>
    <mergeCell ref="Y853:AD853"/>
    <mergeCell ref="AE853:AG853"/>
    <mergeCell ref="AH853:AJ853"/>
    <mergeCell ref="AK853:AN853"/>
    <mergeCell ref="AO853:AR853"/>
    <mergeCell ref="AO856:AR856"/>
    <mergeCell ref="C857:E857"/>
    <mergeCell ref="F857:R857"/>
    <mergeCell ref="S857:U857"/>
    <mergeCell ref="V857:X857"/>
    <mergeCell ref="Y857:AD857"/>
    <mergeCell ref="AE857:AG857"/>
    <mergeCell ref="AH857:AJ857"/>
    <mergeCell ref="AK857:AN857"/>
    <mergeCell ref="AO857:AR857"/>
    <mergeCell ref="AK855:AN855"/>
    <mergeCell ref="AO855:AR855"/>
    <mergeCell ref="C856:E856"/>
    <mergeCell ref="F856:R856"/>
    <mergeCell ref="S856:U856"/>
    <mergeCell ref="V856:X856"/>
    <mergeCell ref="Y856:AD856"/>
    <mergeCell ref="AE856:AG856"/>
    <mergeCell ref="AH856:AJ856"/>
    <mergeCell ref="AK856:AN856"/>
    <mergeCell ref="AK859:AN859"/>
    <mergeCell ref="AO859:AR859"/>
    <mergeCell ref="C860:X860"/>
    <mergeCell ref="Y860:AN860"/>
    <mergeCell ref="AO860:AR860"/>
    <mergeCell ref="C862:X864"/>
    <mergeCell ref="Y862:AN862"/>
    <mergeCell ref="AO862:AR862"/>
    <mergeCell ref="Y863:AG863"/>
    <mergeCell ref="AH863:AN863"/>
    <mergeCell ref="AH858:AJ858"/>
    <mergeCell ref="AK858:AN858"/>
    <mergeCell ref="AO858:AR858"/>
    <mergeCell ref="C859:E859"/>
    <mergeCell ref="F859:R859"/>
    <mergeCell ref="S859:U859"/>
    <mergeCell ref="V859:X859"/>
    <mergeCell ref="Y859:AD859"/>
    <mergeCell ref="AE859:AG859"/>
    <mergeCell ref="AH859:AJ859"/>
    <mergeCell ref="C858:E858"/>
    <mergeCell ref="F858:R858"/>
    <mergeCell ref="S858:U858"/>
    <mergeCell ref="V858:X858"/>
    <mergeCell ref="Y858:AD858"/>
    <mergeCell ref="AE858:AG858"/>
    <mergeCell ref="C867:H867"/>
    <mergeCell ref="I867:J867"/>
    <mergeCell ref="K867:Z867"/>
    <mergeCell ref="AA867:AB867"/>
    <mergeCell ref="AC867:AR867"/>
    <mergeCell ref="C868:H868"/>
    <mergeCell ref="I868:J868"/>
    <mergeCell ref="K868:Z868"/>
    <mergeCell ref="AA868:AB868"/>
    <mergeCell ref="AC868:AR868"/>
    <mergeCell ref="AO863:AR863"/>
    <mergeCell ref="A864:B864"/>
    <mergeCell ref="Y864:AN864"/>
    <mergeCell ref="AO864:AR864"/>
    <mergeCell ref="C866:H866"/>
    <mergeCell ref="I866:J866"/>
    <mergeCell ref="K866:Z866"/>
    <mergeCell ref="AA866:AB866"/>
    <mergeCell ref="AC866:AR866"/>
    <mergeCell ref="C871:H871"/>
    <mergeCell ref="I871:J871"/>
    <mergeCell ref="K871:Z871"/>
    <mergeCell ref="AA871:AB871"/>
    <mergeCell ref="AC871:AR871"/>
    <mergeCell ref="C873:F873"/>
    <mergeCell ref="G873:AA873"/>
    <mergeCell ref="AB873:AI876"/>
    <mergeCell ref="AJ873:AR876"/>
    <mergeCell ref="C874:F874"/>
    <mergeCell ref="G874:AA874"/>
    <mergeCell ref="C875:F875"/>
    <mergeCell ref="G875:AA875"/>
    <mergeCell ref="C876:AA876"/>
    <mergeCell ref="AC869:AR869"/>
    <mergeCell ref="C870:H870"/>
    <mergeCell ref="I870:J870"/>
    <mergeCell ref="K870:Z870"/>
    <mergeCell ref="AA870:AB870"/>
    <mergeCell ref="AC870:AR870"/>
    <mergeCell ref="C869:H869"/>
    <mergeCell ref="I869:J869"/>
    <mergeCell ref="K869:Z869"/>
    <mergeCell ref="AA869:AB869"/>
    <mergeCell ref="C1175:E1176"/>
    <mergeCell ref="F1175:U1176"/>
    <mergeCell ref="V1175:X1176"/>
    <mergeCell ref="Y1175:AF1175"/>
    <mergeCell ref="AG1175:AN1175"/>
    <mergeCell ref="AO1175:AR1176"/>
    <mergeCell ref="Y1176:AB1176"/>
    <mergeCell ref="AC1176:AF1176"/>
    <mergeCell ref="AG1176:AJ1176"/>
    <mergeCell ref="AK1176:AN1176"/>
    <mergeCell ref="C1170:AR1171"/>
    <mergeCell ref="C1172:F1173"/>
    <mergeCell ref="G1172:J1173"/>
    <mergeCell ref="K1172:N1173"/>
    <mergeCell ref="O1172:AK1173"/>
    <mergeCell ref="AL1172:AO1173"/>
    <mergeCell ref="AP1172:AR1173"/>
    <mergeCell ref="AK1179:AN1179"/>
    <mergeCell ref="AO1179:AR1179"/>
    <mergeCell ref="C1180:E1180"/>
    <mergeCell ref="F1180:U1180"/>
    <mergeCell ref="V1180:X1180"/>
    <mergeCell ref="Y1180:AB1180"/>
    <mergeCell ref="AC1180:AF1180"/>
    <mergeCell ref="AG1180:AJ1180"/>
    <mergeCell ref="AK1180:AN1180"/>
    <mergeCell ref="AO1180:AR1180"/>
    <mergeCell ref="C1179:E1179"/>
    <mergeCell ref="F1179:U1179"/>
    <mergeCell ref="V1179:X1179"/>
    <mergeCell ref="Y1179:AB1179"/>
    <mergeCell ref="AC1179:AF1179"/>
    <mergeCell ref="AG1179:AJ1179"/>
    <mergeCell ref="AK1177:AN1177"/>
    <mergeCell ref="AO1177:AR1177"/>
    <mergeCell ref="C1178:E1178"/>
    <mergeCell ref="F1178:U1178"/>
    <mergeCell ref="V1178:X1178"/>
    <mergeCell ref="Y1178:AB1178"/>
    <mergeCell ref="AC1178:AF1178"/>
    <mergeCell ref="AG1178:AJ1178"/>
    <mergeCell ref="AK1178:AN1178"/>
    <mergeCell ref="AO1178:AR1178"/>
    <mergeCell ref="C1177:E1177"/>
    <mergeCell ref="F1177:U1177"/>
    <mergeCell ref="V1177:X1177"/>
    <mergeCell ref="Y1177:AB1177"/>
    <mergeCell ref="AC1177:AF1177"/>
    <mergeCell ref="AG1177:AJ1177"/>
    <mergeCell ref="AK1183:AN1183"/>
    <mergeCell ref="AO1183:AR1183"/>
    <mergeCell ref="C1184:E1184"/>
    <mergeCell ref="F1184:U1184"/>
    <mergeCell ref="V1184:X1184"/>
    <mergeCell ref="Y1184:AB1184"/>
    <mergeCell ref="AC1184:AF1184"/>
    <mergeCell ref="AG1184:AJ1184"/>
    <mergeCell ref="AK1184:AN1184"/>
    <mergeCell ref="AO1184:AR1184"/>
    <mergeCell ref="C1183:E1183"/>
    <mergeCell ref="F1183:U1183"/>
    <mergeCell ref="V1183:X1183"/>
    <mergeCell ref="Y1183:AB1183"/>
    <mergeCell ref="AC1183:AF1183"/>
    <mergeCell ref="AG1183:AJ1183"/>
    <mergeCell ref="AK1181:AN1181"/>
    <mergeCell ref="AO1181:AR1181"/>
    <mergeCell ref="C1182:E1182"/>
    <mergeCell ref="F1182:U1182"/>
    <mergeCell ref="V1182:X1182"/>
    <mergeCell ref="Y1182:AB1182"/>
    <mergeCell ref="AC1182:AF1182"/>
    <mergeCell ref="AG1182:AJ1182"/>
    <mergeCell ref="AK1182:AN1182"/>
    <mergeCell ref="AO1182:AR1182"/>
    <mergeCell ref="C1181:E1181"/>
    <mergeCell ref="F1181:U1181"/>
    <mergeCell ref="V1181:X1181"/>
    <mergeCell ref="Y1181:AB1181"/>
    <mergeCell ref="AC1181:AF1181"/>
    <mergeCell ref="AG1181:AJ1181"/>
    <mergeCell ref="C1190:E1190"/>
    <mergeCell ref="F1190:AB1190"/>
    <mergeCell ref="AC1190:AF1190"/>
    <mergeCell ref="AG1190:AJ1190"/>
    <mergeCell ref="AK1190:AN1190"/>
    <mergeCell ref="AO1190:AR1190"/>
    <mergeCell ref="C1189:E1189"/>
    <mergeCell ref="F1189:AB1189"/>
    <mergeCell ref="AC1189:AF1189"/>
    <mergeCell ref="AG1189:AJ1189"/>
    <mergeCell ref="AK1189:AN1189"/>
    <mergeCell ref="AO1189:AR1189"/>
    <mergeCell ref="C1185:X1185"/>
    <mergeCell ref="Y1185:AN1185"/>
    <mergeCell ref="AO1185:AR1185"/>
    <mergeCell ref="C1187:E1188"/>
    <mergeCell ref="F1187:AB1188"/>
    <mergeCell ref="AC1187:AF1188"/>
    <mergeCell ref="AG1187:AJ1188"/>
    <mergeCell ref="AK1187:AN1188"/>
    <mergeCell ref="AO1187:AR1188"/>
    <mergeCell ref="C1193:E1193"/>
    <mergeCell ref="F1193:AB1193"/>
    <mergeCell ref="AC1193:AF1193"/>
    <mergeCell ref="AG1193:AJ1193"/>
    <mergeCell ref="AK1193:AN1193"/>
    <mergeCell ref="AO1193:AR1193"/>
    <mergeCell ref="C1192:E1192"/>
    <mergeCell ref="F1192:AB1192"/>
    <mergeCell ref="AC1192:AF1192"/>
    <mergeCell ref="AG1192:AJ1192"/>
    <mergeCell ref="AK1192:AN1192"/>
    <mergeCell ref="AO1192:AR1192"/>
    <mergeCell ref="C1191:E1191"/>
    <mergeCell ref="F1191:AB1191"/>
    <mergeCell ref="AC1191:AF1191"/>
    <mergeCell ref="AG1191:AJ1191"/>
    <mergeCell ref="AK1191:AN1191"/>
    <mergeCell ref="AO1191:AR1191"/>
    <mergeCell ref="C1196:E1196"/>
    <mergeCell ref="F1196:AB1196"/>
    <mergeCell ref="AC1196:AF1196"/>
    <mergeCell ref="AG1196:AJ1196"/>
    <mergeCell ref="AK1196:AN1196"/>
    <mergeCell ref="AO1196:AR1196"/>
    <mergeCell ref="C1195:E1195"/>
    <mergeCell ref="F1195:AB1195"/>
    <mergeCell ref="AC1195:AF1195"/>
    <mergeCell ref="AG1195:AJ1195"/>
    <mergeCell ref="AK1195:AN1195"/>
    <mergeCell ref="AO1195:AR1195"/>
    <mergeCell ref="C1194:E1194"/>
    <mergeCell ref="F1194:AB1194"/>
    <mergeCell ref="AC1194:AF1194"/>
    <mergeCell ref="AG1194:AJ1194"/>
    <mergeCell ref="AK1194:AN1194"/>
    <mergeCell ref="AO1194:AR1194"/>
    <mergeCell ref="C1203:E1204"/>
    <mergeCell ref="F1203:AB1204"/>
    <mergeCell ref="AC1203:AF1204"/>
    <mergeCell ref="AG1203:AJ1204"/>
    <mergeCell ref="AK1203:AN1204"/>
    <mergeCell ref="AO1203:AR1204"/>
    <mergeCell ref="C1200:X1200"/>
    <mergeCell ref="Y1200:AN1200"/>
    <mergeCell ref="AO1200:AR1200"/>
    <mergeCell ref="C1201:P1201"/>
    <mergeCell ref="Q1201:U1201"/>
    <mergeCell ref="V1201:X1201"/>
    <mergeCell ref="Y1201:AN1201"/>
    <mergeCell ref="AO1201:AR1201"/>
    <mergeCell ref="C1197:X1197"/>
    <mergeCell ref="Y1197:AF1197"/>
    <mergeCell ref="AG1197:AJ1197"/>
    <mergeCell ref="AK1197:AN1197"/>
    <mergeCell ref="AO1197:AR1197"/>
    <mergeCell ref="C1198:X1198"/>
    <mergeCell ref="Y1198:AN1198"/>
    <mergeCell ref="AO1198:AR1198"/>
    <mergeCell ref="C1207:E1207"/>
    <mergeCell ref="F1207:AB1207"/>
    <mergeCell ref="AC1207:AF1207"/>
    <mergeCell ref="AG1207:AJ1207"/>
    <mergeCell ref="AK1207:AN1207"/>
    <mergeCell ref="AO1207:AR1207"/>
    <mergeCell ref="C1206:E1206"/>
    <mergeCell ref="F1206:AB1206"/>
    <mergeCell ref="AC1206:AF1206"/>
    <mergeCell ref="AG1206:AJ1206"/>
    <mergeCell ref="AK1206:AN1206"/>
    <mergeCell ref="AO1206:AR1206"/>
    <mergeCell ref="C1205:E1205"/>
    <mergeCell ref="F1205:AB1205"/>
    <mergeCell ref="AC1205:AF1205"/>
    <mergeCell ref="AG1205:AJ1205"/>
    <mergeCell ref="AK1205:AN1205"/>
    <mergeCell ref="AO1205:AR1205"/>
    <mergeCell ref="C1210:E1210"/>
    <mergeCell ref="F1210:AB1210"/>
    <mergeCell ref="AC1210:AF1210"/>
    <mergeCell ref="AG1210:AJ1210"/>
    <mergeCell ref="AK1210:AN1210"/>
    <mergeCell ref="AO1210:AR1210"/>
    <mergeCell ref="C1209:E1209"/>
    <mergeCell ref="F1209:AB1209"/>
    <mergeCell ref="AC1209:AF1209"/>
    <mergeCell ref="AG1209:AJ1209"/>
    <mergeCell ref="AK1209:AN1209"/>
    <mergeCell ref="AO1209:AR1209"/>
    <mergeCell ref="C1208:E1208"/>
    <mergeCell ref="F1208:AB1208"/>
    <mergeCell ref="AC1208:AF1208"/>
    <mergeCell ref="AG1208:AJ1208"/>
    <mergeCell ref="AK1208:AN1208"/>
    <mergeCell ref="AO1208:AR1208"/>
    <mergeCell ref="C1213:X1213"/>
    <mergeCell ref="Y1213:AN1213"/>
    <mergeCell ref="AO1213:AR1213"/>
    <mergeCell ref="C1215:E1216"/>
    <mergeCell ref="F1215:R1216"/>
    <mergeCell ref="S1215:U1216"/>
    <mergeCell ref="V1215:X1216"/>
    <mergeCell ref="Y1215:AD1216"/>
    <mergeCell ref="AE1215:AG1216"/>
    <mergeCell ref="AH1215:AJ1216"/>
    <mergeCell ref="C1212:E1212"/>
    <mergeCell ref="F1212:AB1212"/>
    <mergeCell ref="AC1212:AF1212"/>
    <mergeCell ref="AG1212:AJ1212"/>
    <mergeCell ref="AK1212:AN1212"/>
    <mergeCell ref="AO1212:AR1212"/>
    <mergeCell ref="C1211:E1211"/>
    <mergeCell ref="F1211:AB1211"/>
    <mergeCell ref="AC1211:AF1211"/>
    <mergeCell ref="AG1211:AJ1211"/>
    <mergeCell ref="AK1211:AN1211"/>
    <mergeCell ref="AO1211:AR1211"/>
    <mergeCell ref="AO1217:AR1217"/>
    <mergeCell ref="C1218:E1218"/>
    <mergeCell ref="F1218:R1218"/>
    <mergeCell ref="S1218:U1218"/>
    <mergeCell ref="V1218:X1218"/>
    <mergeCell ref="Y1218:AD1218"/>
    <mergeCell ref="AE1218:AG1218"/>
    <mergeCell ref="AH1218:AJ1218"/>
    <mergeCell ref="AK1218:AN1218"/>
    <mergeCell ref="AO1218:AR1218"/>
    <mergeCell ref="AK1215:AN1216"/>
    <mergeCell ref="AO1215:AR1216"/>
    <mergeCell ref="C1217:E1217"/>
    <mergeCell ref="F1217:R1217"/>
    <mergeCell ref="S1217:U1217"/>
    <mergeCell ref="V1217:X1217"/>
    <mergeCell ref="Y1217:AD1217"/>
    <mergeCell ref="AE1217:AG1217"/>
    <mergeCell ref="AH1217:AJ1217"/>
    <mergeCell ref="AK1217:AN1217"/>
    <mergeCell ref="AK1220:AN1220"/>
    <mergeCell ref="AO1220:AR1220"/>
    <mergeCell ref="C1221:E1221"/>
    <mergeCell ref="F1221:R1221"/>
    <mergeCell ref="S1221:U1221"/>
    <mergeCell ref="V1221:X1221"/>
    <mergeCell ref="Y1221:AD1221"/>
    <mergeCell ref="AE1221:AG1221"/>
    <mergeCell ref="AH1221:AJ1221"/>
    <mergeCell ref="AK1221:AN1221"/>
    <mergeCell ref="AH1219:AJ1219"/>
    <mergeCell ref="AK1219:AN1219"/>
    <mergeCell ref="AO1219:AR1219"/>
    <mergeCell ref="C1220:E1220"/>
    <mergeCell ref="F1220:R1220"/>
    <mergeCell ref="S1220:U1220"/>
    <mergeCell ref="V1220:X1220"/>
    <mergeCell ref="Y1220:AD1220"/>
    <mergeCell ref="AE1220:AG1220"/>
    <mergeCell ref="AH1220:AJ1220"/>
    <mergeCell ref="C1219:E1219"/>
    <mergeCell ref="F1219:R1219"/>
    <mergeCell ref="S1219:U1219"/>
    <mergeCell ref="V1219:X1219"/>
    <mergeCell ref="Y1219:AD1219"/>
    <mergeCell ref="AE1219:AG1219"/>
    <mergeCell ref="AH1223:AJ1223"/>
    <mergeCell ref="AK1223:AN1223"/>
    <mergeCell ref="AO1223:AR1223"/>
    <mergeCell ref="C1224:E1224"/>
    <mergeCell ref="F1224:R1224"/>
    <mergeCell ref="S1224:U1224"/>
    <mergeCell ref="V1224:X1224"/>
    <mergeCell ref="Y1224:AD1224"/>
    <mergeCell ref="AE1224:AG1224"/>
    <mergeCell ref="AH1224:AJ1224"/>
    <mergeCell ref="C1223:E1223"/>
    <mergeCell ref="F1223:R1223"/>
    <mergeCell ref="S1223:U1223"/>
    <mergeCell ref="V1223:X1223"/>
    <mergeCell ref="Y1223:AD1223"/>
    <mergeCell ref="AE1223:AG1223"/>
    <mergeCell ref="AO1221:AR1221"/>
    <mergeCell ref="C1222:E1222"/>
    <mergeCell ref="F1222:R1222"/>
    <mergeCell ref="S1222:U1222"/>
    <mergeCell ref="V1222:X1222"/>
    <mergeCell ref="Y1222:AD1222"/>
    <mergeCell ref="AE1222:AG1222"/>
    <mergeCell ref="AH1222:AJ1222"/>
    <mergeCell ref="AK1222:AN1222"/>
    <mergeCell ref="AO1222:AR1222"/>
    <mergeCell ref="AO1228:AR1228"/>
    <mergeCell ref="Y1229:AN1229"/>
    <mergeCell ref="AO1229:AR1229"/>
    <mergeCell ref="C1231:H1231"/>
    <mergeCell ref="I1231:J1231"/>
    <mergeCell ref="K1231:Z1231"/>
    <mergeCell ref="AA1231:AB1231"/>
    <mergeCell ref="AC1231:AR1231"/>
    <mergeCell ref="AK1224:AN1224"/>
    <mergeCell ref="AO1224:AR1224"/>
    <mergeCell ref="C1225:X1225"/>
    <mergeCell ref="Y1225:AN1225"/>
    <mergeCell ref="AO1225:AR1225"/>
    <mergeCell ref="C1227:X1229"/>
    <mergeCell ref="Y1227:AN1227"/>
    <mergeCell ref="AO1227:AR1227"/>
    <mergeCell ref="Y1228:AG1228"/>
    <mergeCell ref="AH1228:AN1228"/>
    <mergeCell ref="C1234:H1234"/>
    <mergeCell ref="I1234:J1234"/>
    <mergeCell ref="K1234:Z1234"/>
    <mergeCell ref="AA1234:AB1234"/>
    <mergeCell ref="AC1234:AR1234"/>
    <mergeCell ref="C1235:H1235"/>
    <mergeCell ref="I1235:J1235"/>
    <mergeCell ref="K1235:Z1235"/>
    <mergeCell ref="AA1235:AB1235"/>
    <mergeCell ref="AC1235:AR1235"/>
    <mergeCell ref="C1232:H1232"/>
    <mergeCell ref="I1232:J1232"/>
    <mergeCell ref="K1232:Z1232"/>
    <mergeCell ref="AA1232:AB1232"/>
    <mergeCell ref="AC1232:AR1232"/>
    <mergeCell ref="C1233:H1233"/>
    <mergeCell ref="I1233:J1233"/>
    <mergeCell ref="K1233:Z1233"/>
    <mergeCell ref="AA1233:AB1233"/>
    <mergeCell ref="AC1233:AR1233"/>
    <mergeCell ref="C1248:E1249"/>
    <mergeCell ref="F1248:U1249"/>
    <mergeCell ref="V1248:X1249"/>
    <mergeCell ref="Y1248:AF1248"/>
    <mergeCell ref="AG1248:AN1248"/>
    <mergeCell ref="AO1248:AR1249"/>
    <mergeCell ref="Y1249:AB1249"/>
    <mergeCell ref="AC1249:AF1249"/>
    <mergeCell ref="AG1249:AJ1249"/>
    <mergeCell ref="AK1249:AN1249"/>
    <mergeCell ref="C1245:F1246"/>
    <mergeCell ref="G1245:J1246"/>
    <mergeCell ref="K1245:N1246"/>
    <mergeCell ref="O1245:AK1246"/>
    <mergeCell ref="AL1245:AO1246"/>
    <mergeCell ref="AP1245:AR1246"/>
    <mergeCell ref="A1229:B1229"/>
    <mergeCell ref="C1243:AR1244"/>
    <mergeCell ref="C1236:H1236"/>
    <mergeCell ref="I1236:J1236"/>
    <mergeCell ref="K1236:Z1236"/>
    <mergeCell ref="AA1236:AB1236"/>
    <mergeCell ref="AC1236:AR1236"/>
    <mergeCell ref="C1238:F1238"/>
    <mergeCell ref="G1238:AA1238"/>
    <mergeCell ref="AB1238:AI1241"/>
    <mergeCell ref="AJ1238:AR1241"/>
    <mergeCell ref="C1239:F1239"/>
    <mergeCell ref="G1239:AA1239"/>
    <mergeCell ref="C1240:F1240"/>
    <mergeCell ref="G1240:AA1240"/>
    <mergeCell ref="C1241:AA1241"/>
    <mergeCell ref="AK1252:AN1252"/>
    <mergeCell ref="AO1252:AR1252"/>
    <mergeCell ref="C1253:E1253"/>
    <mergeCell ref="F1253:U1253"/>
    <mergeCell ref="V1253:X1253"/>
    <mergeCell ref="Y1253:AB1253"/>
    <mergeCell ref="AC1253:AF1253"/>
    <mergeCell ref="AG1253:AJ1253"/>
    <mergeCell ref="AK1253:AN1253"/>
    <mergeCell ref="AO1253:AR1253"/>
    <mergeCell ref="C1252:E1252"/>
    <mergeCell ref="F1252:U1252"/>
    <mergeCell ref="V1252:X1252"/>
    <mergeCell ref="Y1252:AB1252"/>
    <mergeCell ref="AC1252:AF1252"/>
    <mergeCell ref="AG1252:AJ1252"/>
    <mergeCell ref="AK1250:AN1250"/>
    <mergeCell ref="AO1250:AR1250"/>
    <mergeCell ref="C1251:E1251"/>
    <mergeCell ref="F1251:U1251"/>
    <mergeCell ref="V1251:X1251"/>
    <mergeCell ref="Y1251:AB1251"/>
    <mergeCell ref="AC1251:AF1251"/>
    <mergeCell ref="AG1251:AJ1251"/>
    <mergeCell ref="AK1251:AN1251"/>
    <mergeCell ref="AO1251:AR1251"/>
    <mergeCell ref="C1250:E1250"/>
    <mergeCell ref="F1250:U1250"/>
    <mergeCell ref="V1250:X1250"/>
    <mergeCell ref="Y1250:AB1250"/>
    <mergeCell ref="AC1250:AF1250"/>
    <mergeCell ref="AG1250:AJ1250"/>
    <mergeCell ref="AK1256:AN1256"/>
    <mergeCell ref="AO1256:AR1256"/>
    <mergeCell ref="C1257:E1257"/>
    <mergeCell ref="F1257:U1257"/>
    <mergeCell ref="V1257:X1257"/>
    <mergeCell ref="Y1257:AB1257"/>
    <mergeCell ref="AC1257:AF1257"/>
    <mergeCell ref="AG1257:AJ1257"/>
    <mergeCell ref="AK1257:AN1257"/>
    <mergeCell ref="AO1257:AR1257"/>
    <mergeCell ref="C1256:E1256"/>
    <mergeCell ref="F1256:U1256"/>
    <mergeCell ref="V1256:X1256"/>
    <mergeCell ref="Y1256:AB1256"/>
    <mergeCell ref="AC1256:AF1256"/>
    <mergeCell ref="AG1256:AJ1256"/>
    <mergeCell ref="AK1254:AN1254"/>
    <mergeCell ref="AO1254:AR1254"/>
    <mergeCell ref="C1255:E1255"/>
    <mergeCell ref="F1255:U1255"/>
    <mergeCell ref="V1255:X1255"/>
    <mergeCell ref="Y1255:AB1255"/>
    <mergeCell ref="AC1255:AF1255"/>
    <mergeCell ref="AG1255:AJ1255"/>
    <mergeCell ref="AK1255:AN1255"/>
    <mergeCell ref="AO1255:AR1255"/>
    <mergeCell ref="C1254:E1254"/>
    <mergeCell ref="F1254:U1254"/>
    <mergeCell ref="V1254:X1254"/>
    <mergeCell ref="Y1254:AB1254"/>
    <mergeCell ref="AC1254:AF1254"/>
    <mergeCell ref="AG1254:AJ1254"/>
    <mergeCell ref="C1263:E1263"/>
    <mergeCell ref="F1263:AB1263"/>
    <mergeCell ref="AC1263:AF1263"/>
    <mergeCell ref="AG1263:AJ1263"/>
    <mergeCell ref="AK1263:AN1263"/>
    <mergeCell ref="AO1263:AR1263"/>
    <mergeCell ref="C1262:E1262"/>
    <mergeCell ref="F1262:AB1262"/>
    <mergeCell ref="AC1262:AF1262"/>
    <mergeCell ref="AG1262:AJ1262"/>
    <mergeCell ref="AK1262:AN1262"/>
    <mergeCell ref="AO1262:AR1262"/>
    <mergeCell ref="C1258:X1258"/>
    <mergeCell ref="Y1258:AN1258"/>
    <mergeCell ref="AO1258:AR1258"/>
    <mergeCell ref="C1260:E1261"/>
    <mergeCell ref="F1260:AB1261"/>
    <mergeCell ref="AC1260:AF1261"/>
    <mergeCell ref="AG1260:AJ1261"/>
    <mergeCell ref="AK1260:AN1261"/>
    <mergeCell ref="AO1260:AR1261"/>
    <mergeCell ref="C1266:E1266"/>
    <mergeCell ref="F1266:AB1266"/>
    <mergeCell ref="AC1266:AF1266"/>
    <mergeCell ref="AG1266:AJ1266"/>
    <mergeCell ref="AK1266:AN1266"/>
    <mergeCell ref="AO1266:AR1266"/>
    <mergeCell ref="C1265:E1265"/>
    <mergeCell ref="F1265:AB1265"/>
    <mergeCell ref="AC1265:AF1265"/>
    <mergeCell ref="AG1265:AJ1265"/>
    <mergeCell ref="AK1265:AN1265"/>
    <mergeCell ref="AO1265:AR1265"/>
    <mergeCell ref="C1264:E1264"/>
    <mergeCell ref="F1264:AB1264"/>
    <mergeCell ref="AC1264:AF1264"/>
    <mergeCell ref="AG1264:AJ1264"/>
    <mergeCell ref="AK1264:AN1264"/>
    <mergeCell ref="AO1264:AR1264"/>
    <mergeCell ref="C1269:E1269"/>
    <mergeCell ref="F1269:AB1269"/>
    <mergeCell ref="AC1269:AF1269"/>
    <mergeCell ref="AG1269:AJ1269"/>
    <mergeCell ref="AK1269:AN1269"/>
    <mergeCell ref="AO1269:AR1269"/>
    <mergeCell ref="C1268:E1268"/>
    <mergeCell ref="F1268:AB1268"/>
    <mergeCell ref="AC1268:AF1268"/>
    <mergeCell ref="AG1268:AJ1268"/>
    <mergeCell ref="AK1268:AN1268"/>
    <mergeCell ref="AO1268:AR1268"/>
    <mergeCell ref="C1267:E1267"/>
    <mergeCell ref="F1267:AB1267"/>
    <mergeCell ref="AC1267:AF1267"/>
    <mergeCell ref="AG1267:AJ1267"/>
    <mergeCell ref="AK1267:AN1267"/>
    <mergeCell ref="AO1267:AR1267"/>
    <mergeCell ref="C1276:E1277"/>
    <mergeCell ref="F1276:AB1277"/>
    <mergeCell ref="AC1276:AF1277"/>
    <mergeCell ref="AG1276:AJ1277"/>
    <mergeCell ref="AK1276:AN1277"/>
    <mergeCell ref="AO1276:AR1277"/>
    <mergeCell ref="C1273:X1273"/>
    <mergeCell ref="Y1273:AN1273"/>
    <mergeCell ref="AO1273:AR1273"/>
    <mergeCell ref="C1274:P1274"/>
    <mergeCell ref="Q1274:U1274"/>
    <mergeCell ref="V1274:X1274"/>
    <mergeCell ref="Y1274:AN1274"/>
    <mergeCell ref="AO1274:AR1274"/>
    <mergeCell ref="C1270:X1270"/>
    <mergeCell ref="Y1270:AF1270"/>
    <mergeCell ref="AG1270:AJ1270"/>
    <mergeCell ref="AK1270:AN1270"/>
    <mergeCell ref="AO1270:AR1270"/>
    <mergeCell ref="C1271:X1271"/>
    <mergeCell ref="Y1271:AN1271"/>
    <mergeCell ref="AO1271:AR1271"/>
    <mergeCell ref="C1280:E1280"/>
    <mergeCell ref="F1280:AB1280"/>
    <mergeCell ref="AC1280:AF1280"/>
    <mergeCell ref="AG1280:AJ1280"/>
    <mergeCell ref="AK1280:AN1280"/>
    <mergeCell ref="AO1280:AR1280"/>
    <mergeCell ref="C1279:E1279"/>
    <mergeCell ref="F1279:AB1279"/>
    <mergeCell ref="AC1279:AF1279"/>
    <mergeCell ref="AG1279:AJ1279"/>
    <mergeCell ref="AK1279:AN1279"/>
    <mergeCell ref="AO1279:AR1279"/>
    <mergeCell ref="C1278:E1278"/>
    <mergeCell ref="F1278:AB1278"/>
    <mergeCell ref="AC1278:AF1278"/>
    <mergeCell ref="AG1278:AJ1278"/>
    <mergeCell ref="AK1278:AN1278"/>
    <mergeCell ref="AO1278:AR1278"/>
    <mergeCell ref="C1283:E1283"/>
    <mergeCell ref="F1283:AB1283"/>
    <mergeCell ref="AC1283:AF1283"/>
    <mergeCell ref="AG1283:AJ1283"/>
    <mergeCell ref="AK1283:AN1283"/>
    <mergeCell ref="AO1283:AR1283"/>
    <mergeCell ref="C1282:E1282"/>
    <mergeCell ref="F1282:AB1282"/>
    <mergeCell ref="AC1282:AF1282"/>
    <mergeCell ref="AG1282:AJ1282"/>
    <mergeCell ref="AK1282:AN1282"/>
    <mergeCell ref="AO1282:AR1282"/>
    <mergeCell ref="C1281:E1281"/>
    <mergeCell ref="F1281:AB1281"/>
    <mergeCell ref="AC1281:AF1281"/>
    <mergeCell ref="AG1281:AJ1281"/>
    <mergeCell ref="AK1281:AN1281"/>
    <mergeCell ref="AO1281:AR1281"/>
    <mergeCell ref="C1286:X1286"/>
    <mergeCell ref="Y1286:AN1286"/>
    <mergeCell ref="AO1286:AR1286"/>
    <mergeCell ref="C1288:E1289"/>
    <mergeCell ref="F1288:R1289"/>
    <mergeCell ref="S1288:U1289"/>
    <mergeCell ref="V1288:X1289"/>
    <mergeCell ref="Y1288:AD1289"/>
    <mergeCell ref="AE1288:AG1289"/>
    <mergeCell ref="AH1288:AJ1289"/>
    <mergeCell ref="C1285:E1285"/>
    <mergeCell ref="F1285:AB1285"/>
    <mergeCell ref="AC1285:AF1285"/>
    <mergeCell ref="AG1285:AJ1285"/>
    <mergeCell ref="AK1285:AN1285"/>
    <mergeCell ref="AO1285:AR1285"/>
    <mergeCell ref="C1284:E1284"/>
    <mergeCell ref="F1284:AB1284"/>
    <mergeCell ref="AC1284:AF1284"/>
    <mergeCell ref="AG1284:AJ1284"/>
    <mergeCell ref="AK1284:AN1284"/>
    <mergeCell ref="AO1284:AR1284"/>
    <mergeCell ref="AO1290:AR1290"/>
    <mergeCell ref="C1291:E1291"/>
    <mergeCell ref="F1291:R1291"/>
    <mergeCell ref="S1291:U1291"/>
    <mergeCell ref="V1291:X1291"/>
    <mergeCell ref="Y1291:AD1291"/>
    <mergeCell ref="AE1291:AG1291"/>
    <mergeCell ref="AH1291:AJ1291"/>
    <mergeCell ref="AK1291:AN1291"/>
    <mergeCell ref="AO1291:AR1291"/>
    <mergeCell ref="AK1288:AN1289"/>
    <mergeCell ref="AO1288:AR1289"/>
    <mergeCell ref="C1290:E1290"/>
    <mergeCell ref="F1290:R1290"/>
    <mergeCell ref="S1290:U1290"/>
    <mergeCell ref="V1290:X1290"/>
    <mergeCell ref="Y1290:AD1290"/>
    <mergeCell ref="AE1290:AG1290"/>
    <mergeCell ref="AH1290:AJ1290"/>
    <mergeCell ref="AK1290:AN1290"/>
    <mergeCell ref="AK1293:AN1293"/>
    <mergeCell ref="AO1293:AR1293"/>
    <mergeCell ref="C1294:E1294"/>
    <mergeCell ref="F1294:R1294"/>
    <mergeCell ref="S1294:U1294"/>
    <mergeCell ref="V1294:X1294"/>
    <mergeCell ref="Y1294:AD1294"/>
    <mergeCell ref="AE1294:AG1294"/>
    <mergeCell ref="AH1294:AJ1294"/>
    <mergeCell ref="AK1294:AN1294"/>
    <mergeCell ref="AH1292:AJ1292"/>
    <mergeCell ref="AK1292:AN1292"/>
    <mergeCell ref="AO1292:AR1292"/>
    <mergeCell ref="C1293:E1293"/>
    <mergeCell ref="F1293:R1293"/>
    <mergeCell ref="S1293:U1293"/>
    <mergeCell ref="V1293:X1293"/>
    <mergeCell ref="Y1293:AD1293"/>
    <mergeCell ref="AE1293:AG1293"/>
    <mergeCell ref="AH1293:AJ1293"/>
    <mergeCell ref="C1292:E1292"/>
    <mergeCell ref="F1292:R1292"/>
    <mergeCell ref="S1292:U1292"/>
    <mergeCell ref="V1292:X1292"/>
    <mergeCell ref="Y1292:AD1292"/>
    <mergeCell ref="AE1292:AG1292"/>
    <mergeCell ref="AH1296:AJ1296"/>
    <mergeCell ref="AK1296:AN1296"/>
    <mergeCell ref="AO1296:AR1296"/>
    <mergeCell ref="C1297:E1297"/>
    <mergeCell ref="F1297:R1297"/>
    <mergeCell ref="S1297:U1297"/>
    <mergeCell ref="V1297:X1297"/>
    <mergeCell ref="Y1297:AD1297"/>
    <mergeCell ref="AE1297:AG1297"/>
    <mergeCell ref="AH1297:AJ1297"/>
    <mergeCell ref="C1296:E1296"/>
    <mergeCell ref="F1296:R1296"/>
    <mergeCell ref="S1296:U1296"/>
    <mergeCell ref="V1296:X1296"/>
    <mergeCell ref="Y1296:AD1296"/>
    <mergeCell ref="AE1296:AG1296"/>
    <mergeCell ref="AO1294:AR1294"/>
    <mergeCell ref="C1295:E1295"/>
    <mergeCell ref="F1295:R1295"/>
    <mergeCell ref="S1295:U1295"/>
    <mergeCell ref="V1295:X1295"/>
    <mergeCell ref="Y1295:AD1295"/>
    <mergeCell ref="AE1295:AG1295"/>
    <mergeCell ref="AH1295:AJ1295"/>
    <mergeCell ref="AK1295:AN1295"/>
    <mergeCell ref="AO1295:AR1295"/>
    <mergeCell ref="AO1301:AR1301"/>
    <mergeCell ref="Y1302:AN1302"/>
    <mergeCell ref="AO1302:AR1302"/>
    <mergeCell ref="C1304:H1304"/>
    <mergeCell ref="I1304:J1304"/>
    <mergeCell ref="K1304:Z1304"/>
    <mergeCell ref="AA1304:AB1304"/>
    <mergeCell ref="AC1304:AR1304"/>
    <mergeCell ref="AK1297:AN1297"/>
    <mergeCell ref="AO1297:AR1297"/>
    <mergeCell ref="C1298:X1298"/>
    <mergeCell ref="Y1298:AN1298"/>
    <mergeCell ref="AO1298:AR1298"/>
    <mergeCell ref="C1300:X1302"/>
    <mergeCell ref="Y1300:AN1300"/>
    <mergeCell ref="AO1300:AR1300"/>
    <mergeCell ref="Y1301:AG1301"/>
    <mergeCell ref="AH1301:AN1301"/>
    <mergeCell ref="C1307:H1307"/>
    <mergeCell ref="I1307:J1307"/>
    <mergeCell ref="K1307:Z1307"/>
    <mergeCell ref="AA1307:AB1307"/>
    <mergeCell ref="AC1307:AR1307"/>
    <mergeCell ref="C1308:H1308"/>
    <mergeCell ref="I1308:J1308"/>
    <mergeCell ref="K1308:Z1308"/>
    <mergeCell ref="AA1308:AB1308"/>
    <mergeCell ref="AC1308:AR1308"/>
    <mergeCell ref="C1305:H1305"/>
    <mergeCell ref="I1305:J1305"/>
    <mergeCell ref="K1305:Z1305"/>
    <mergeCell ref="AA1305:AB1305"/>
    <mergeCell ref="AC1305:AR1305"/>
    <mergeCell ref="C1306:H1306"/>
    <mergeCell ref="I1306:J1306"/>
    <mergeCell ref="K1306:Z1306"/>
    <mergeCell ref="AA1306:AB1306"/>
    <mergeCell ref="AC1306:AR1306"/>
    <mergeCell ref="C1321:E1322"/>
    <mergeCell ref="F1321:U1322"/>
    <mergeCell ref="V1321:X1322"/>
    <mergeCell ref="Y1321:AF1321"/>
    <mergeCell ref="AG1321:AN1321"/>
    <mergeCell ref="AO1321:AR1322"/>
    <mergeCell ref="Y1322:AB1322"/>
    <mergeCell ref="AC1322:AF1322"/>
    <mergeCell ref="AG1322:AJ1322"/>
    <mergeCell ref="AK1322:AN1322"/>
    <mergeCell ref="C1318:F1319"/>
    <mergeCell ref="G1318:J1319"/>
    <mergeCell ref="K1318:N1319"/>
    <mergeCell ref="O1318:AK1319"/>
    <mergeCell ref="AL1318:AO1319"/>
    <mergeCell ref="AP1318:AR1319"/>
    <mergeCell ref="A1302:B1302"/>
    <mergeCell ref="C1316:AR1317"/>
    <mergeCell ref="C1309:H1309"/>
    <mergeCell ref="I1309:J1309"/>
    <mergeCell ref="K1309:Z1309"/>
    <mergeCell ref="AA1309:AB1309"/>
    <mergeCell ref="AC1309:AR1309"/>
    <mergeCell ref="C1311:F1311"/>
    <mergeCell ref="G1311:AA1311"/>
    <mergeCell ref="AB1311:AI1314"/>
    <mergeCell ref="AJ1311:AR1314"/>
    <mergeCell ref="C1312:F1312"/>
    <mergeCell ref="G1312:AA1312"/>
    <mergeCell ref="C1313:F1313"/>
    <mergeCell ref="G1313:AA1313"/>
    <mergeCell ref="C1314:AA1314"/>
    <mergeCell ref="AK1325:AN1325"/>
    <mergeCell ref="AO1325:AR1325"/>
    <mergeCell ref="C1326:E1326"/>
    <mergeCell ref="F1326:U1326"/>
    <mergeCell ref="V1326:X1326"/>
    <mergeCell ref="Y1326:AB1326"/>
    <mergeCell ref="AC1326:AF1326"/>
    <mergeCell ref="AG1326:AJ1326"/>
    <mergeCell ref="AK1326:AN1326"/>
    <mergeCell ref="AO1326:AR1326"/>
    <mergeCell ref="C1325:E1325"/>
    <mergeCell ref="F1325:U1325"/>
    <mergeCell ref="V1325:X1325"/>
    <mergeCell ref="Y1325:AB1325"/>
    <mergeCell ref="AC1325:AF1325"/>
    <mergeCell ref="AG1325:AJ1325"/>
    <mergeCell ref="AK1323:AN1323"/>
    <mergeCell ref="AO1323:AR1323"/>
    <mergeCell ref="C1324:E1324"/>
    <mergeCell ref="F1324:U1324"/>
    <mergeCell ref="V1324:X1324"/>
    <mergeCell ref="Y1324:AB1324"/>
    <mergeCell ref="AC1324:AF1324"/>
    <mergeCell ref="AG1324:AJ1324"/>
    <mergeCell ref="AK1324:AN1324"/>
    <mergeCell ref="AO1324:AR1324"/>
    <mergeCell ref="C1323:E1323"/>
    <mergeCell ref="F1323:U1323"/>
    <mergeCell ref="V1323:X1323"/>
    <mergeCell ref="Y1323:AB1323"/>
    <mergeCell ref="AC1323:AF1323"/>
    <mergeCell ref="AG1323:AJ1323"/>
    <mergeCell ref="AK1329:AN1329"/>
    <mergeCell ref="AO1329:AR1329"/>
    <mergeCell ref="C1330:E1330"/>
    <mergeCell ref="F1330:U1330"/>
    <mergeCell ref="V1330:X1330"/>
    <mergeCell ref="Y1330:AB1330"/>
    <mergeCell ref="AC1330:AF1330"/>
    <mergeCell ref="AG1330:AJ1330"/>
    <mergeCell ref="AK1330:AN1330"/>
    <mergeCell ref="AO1330:AR1330"/>
    <mergeCell ref="C1329:E1329"/>
    <mergeCell ref="F1329:U1329"/>
    <mergeCell ref="V1329:X1329"/>
    <mergeCell ref="Y1329:AB1329"/>
    <mergeCell ref="AC1329:AF1329"/>
    <mergeCell ref="AG1329:AJ1329"/>
    <mergeCell ref="AK1327:AN1327"/>
    <mergeCell ref="AO1327:AR1327"/>
    <mergeCell ref="C1328:E1328"/>
    <mergeCell ref="F1328:U1328"/>
    <mergeCell ref="V1328:X1328"/>
    <mergeCell ref="Y1328:AB1328"/>
    <mergeCell ref="AC1328:AF1328"/>
    <mergeCell ref="AG1328:AJ1328"/>
    <mergeCell ref="AK1328:AN1328"/>
    <mergeCell ref="AO1328:AR1328"/>
    <mergeCell ref="C1327:E1327"/>
    <mergeCell ref="F1327:U1327"/>
    <mergeCell ref="V1327:X1327"/>
    <mergeCell ref="Y1327:AB1327"/>
    <mergeCell ref="AC1327:AF1327"/>
    <mergeCell ref="AG1327:AJ1327"/>
    <mergeCell ref="C1336:E1336"/>
    <mergeCell ref="F1336:AB1336"/>
    <mergeCell ref="AC1336:AF1336"/>
    <mergeCell ref="AG1336:AJ1336"/>
    <mergeCell ref="AK1336:AN1336"/>
    <mergeCell ref="AO1336:AR1336"/>
    <mergeCell ref="C1335:E1335"/>
    <mergeCell ref="F1335:AB1335"/>
    <mergeCell ref="AC1335:AF1335"/>
    <mergeCell ref="AG1335:AJ1335"/>
    <mergeCell ref="AK1335:AN1335"/>
    <mergeCell ref="AO1335:AR1335"/>
    <mergeCell ref="C1331:X1331"/>
    <mergeCell ref="Y1331:AN1331"/>
    <mergeCell ref="AO1331:AR1331"/>
    <mergeCell ref="C1333:E1334"/>
    <mergeCell ref="F1333:AB1334"/>
    <mergeCell ref="AC1333:AF1334"/>
    <mergeCell ref="AG1333:AJ1334"/>
    <mergeCell ref="AK1333:AN1334"/>
    <mergeCell ref="AO1333:AR1334"/>
    <mergeCell ref="C1339:E1339"/>
    <mergeCell ref="F1339:AB1339"/>
    <mergeCell ref="AC1339:AF1339"/>
    <mergeCell ref="AG1339:AJ1339"/>
    <mergeCell ref="AK1339:AN1339"/>
    <mergeCell ref="AO1339:AR1339"/>
    <mergeCell ref="C1338:E1338"/>
    <mergeCell ref="F1338:AB1338"/>
    <mergeCell ref="AC1338:AF1338"/>
    <mergeCell ref="AG1338:AJ1338"/>
    <mergeCell ref="AK1338:AN1338"/>
    <mergeCell ref="AO1338:AR1338"/>
    <mergeCell ref="C1337:E1337"/>
    <mergeCell ref="F1337:AB1337"/>
    <mergeCell ref="AC1337:AF1337"/>
    <mergeCell ref="AG1337:AJ1337"/>
    <mergeCell ref="AK1337:AN1337"/>
    <mergeCell ref="AO1337:AR1337"/>
    <mergeCell ref="C1342:E1342"/>
    <mergeCell ref="F1342:AB1342"/>
    <mergeCell ref="AC1342:AF1342"/>
    <mergeCell ref="AG1342:AJ1342"/>
    <mergeCell ref="AK1342:AN1342"/>
    <mergeCell ref="AO1342:AR1342"/>
    <mergeCell ref="C1341:E1341"/>
    <mergeCell ref="F1341:AB1341"/>
    <mergeCell ref="AC1341:AF1341"/>
    <mergeCell ref="AG1341:AJ1341"/>
    <mergeCell ref="AK1341:AN1341"/>
    <mergeCell ref="AO1341:AR1341"/>
    <mergeCell ref="C1340:E1340"/>
    <mergeCell ref="F1340:AB1340"/>
    <mergeCell ref="AC1340:AF1340"/>
    <mergeCell ref="AG1340:AJ1340"/>
    <mergeCell ref="AK1340:AN1340"/>
    <mergeCell ref="AO1340:AR1340"/>
    <mergeCell ref="C1349:E1350"/>
    <mergeCell ref="F1349:AB1350"/>
    <mergeCell ref="AC1349:AF1350"/>
    <mergeCell ref="AG1349:AJ1350"/>
    <mergeCell ref="AK1349:AN1350"/>
    <mergeCell ref="AO1349:AR1350"/>
    <mergeCell ref="C1346:X1346"/>
    <mergeCell ref="Y1346:AN1346"/>
    <mergeCell ref="AO1346:AR1346"/>
    <mergeCell ref="C1347:P1347"/>
    <mergeCell ref="Q1347:U1347"/>
    <mergeCell ref="V1347:X1347"/>
    <mergeCell ref="Y1347:AN1347"/>
    <mergeCell ref="AO1347:AR1347"/>
    <mergeCell ref="C1343:X1343"/>
    <mergeCell ref="Y1343:AF1343"/>
    <mergeCell ref="AG1343:AJ1343"/>
    <mergeCell ref="AK1343:AN1343"/>
    <mergeCell ref="AO1343:AR1343"/>
    <mergeCell ref="C1344:X1344"/>
    <mergeCell ref="Y1344:AN1344"/>
    <mergeCell ref="AO1344:AR1344"/>
    <mergeCell ref="C1353:E1353"/>
    <mergeCell ref="F1353:AB1353"/>
    <mergeCell ref="AC1353:AF1353"/>
    <mergeCell ref="AG1353:AJ1353"/>
    <mergeCell ref="AK1353:AN1353"/>
    <mergeCell ref="AO1353:AR1353"/>
    <mergeCell ref="C1352:E1352"/>
    <mergeCell ref="F1352:AB1352"/>
    <mergeCell ref="AC1352:AF1352"/>
    <mergeCell ref="AG1352:AJ1352"/>
    <mergeCell ref="AK1352:AN1352"/>
    <mergeCell ref="AO1352:AR1352"/>
    <mergeCell ref="C1351:E1351"/>
    <mergeCell ref="F1351:AB1351"/>
    <mergeCell ref="AC1351:AF1351"/>
    <mergeCell ref="AG1351:AJ1351"/>
    <mergeCell ref="AK1351:AN1351"/>
    <mergeCell ref="AO1351:AR1351"/>
    <mergeCell ref="C1356:E1356"/>
    <mergeCell ref="F1356:AB1356"/>
    <mergeCell ref="AC1356:AF1356"/>
    <mergeCell ref="AG1356:AJ1356"/>
    <mergeCell ref="AK1356:AN1356"/>
    <mergeCell ref="AO1356:AR1356"/>
    <mergeCell ref="C1355:E1355"/>
    <mergeCell ref="F1355:AB1355"/>
    <mergeCell ref="AC1355:AF1355"/>
    <mergeCell ref="AG1355:AJ1355"/>
    <mergeCell ref="AK1355:AN1355"/>
    <mergeCell ref="AO1355:AR1355"/>
    <mergeCell ref="C1354:E1354"/>
    <mergeCell ref="F1354:AB1354"/>
    <mergeCell ref="AC1354:AF1354"/>
    <mergeCell ref="AG1354:AJ1354"/>
    <mergeCell ref="AK1354:AN1354"/>
    <mergeCell ref="AO1354:AR1354"/>
    <mergeCell ref="C1359:X1359"/>
    <mergeCell ref="Y1359:AN1359"/>
    <mergeCell ref="AO1359:AR1359"/>
    <mergeCell ref="C1361:E1362"/>
    <mergeCell ref="F1361:R1362"/>
    <mergeCell ref="S1361:U1362"/>
    <mergeCell ref="V1361:X1362"/>
    <mergeCell ref="Y1361:AD1362"/>
    <mergeCell ref="AE1361:AG1362"/>
    <mergeCell ref="AH1361:AJ1362"/>
    <mergeCell ref="C1358:E1358"/>
    <mergeCell ref="F1358:AB1358"/>
    <mergeCell ref="AC1358:AF1358"/>
    <mergeCell ref="AG1358:AJ1358"/>
    <mergeCell ref="AK1358:AN1358"/>
    <mergeCell ref="AO1358:AR1358"/>
    <mergeCell ref="C1357:E1357"/>
    <mergeCell ref="F1357:AB1357"/>
    <mergeCell ref="AC1357:AF1357"/>
    <mergeCell ref="AG1357:AJ1357"/>
    <mergeCell ref="AK1357:AN1357"/>
    <mergeCell ref="AO1357:AR1357"/>
    <mergeCell ref="AO1363:AR1363"/>
    <mergeCell ref="C1364:E1364"/>
    <mergeCell ref="F1364:R1364"/>
    <mergeCell ref="S1364:U1364"/>
    <mergeCell ref="V1364:X1364"/>
    <mergeCell ref="Y1364:AD1364"/>
    <mergeCell ref="AE1364:AG1364"/>
    <mergeCell ref="AH1364:AJ1364"/>
    <mergeCell ref="AK1364:AN1364"/>
    <mergeCell ref="AO1364:AR1364"/>
    <mergeCell ref="AK1361:AN1362"/>
    <mergeCell ref="AO1361:AR1362"/>
    <mergeCell ref="C1363:E1363"/>
    <mergeCell ref="F1363:R1363"/>
    <mergeCell ref="S1363:U1363"/>
    <mergeCell ref="V1363:X1363"/>
    <mergeCell ref="Y1363:AD1363"/>
    <mergeCell ref="AE1363:AG1363"/>
    <mergeCell ref="AH1363:AJ1363"/>
    <mergeCell ref="AK1363:AN1363"/>
    <mergeCell ref="AK1366:AN1366"/>
    <mergeCell ref="AO1366:AR1366"/>
    <mergeCell ref="C1367:E1367"/>
    <mergeCell ref="F1367:R1367"/>
    <mergeCell ref="S1367:U1367"/>
    <mergeCell ref="V1367:X1367"/>
    <mergeCell ref="Y1367:AD1367"/>
    <mergeCell ref="AE1367:AG1367"/>
    <mergeCell ref="AH1367:AJ1367"/>
    <mergeCell ref="AK1367:AN1367"/>
    <mergeCell ref="AH1365:AJ1365"/>
    <mergeCell ref="AK1365:AN1365"/>
    <mergeCell ref="AO1365:AR1365"/>
    <mergeCell ref="C1366:E1366"/>
    <mergeCell ref="F1366:R1366"/>
    <mergeCell ref="S1366:U1366"/>
    <mergeCell ref="V1366:X1366"/>
    <mergeCell ref="Y1366:AD1366"/>
    <mergeCell ref="AE1366:AG1366"/>
    <mergeCell ref="AH1366:AJ1366"/>
    <mergeCell ref="C1365:E1365"/>
    <mergeCell ref="F1365:R1365"/>
    <mergeCell ref="S1365:U1365"/>
    <mergeCell ref="V1365:X1365"/>
    <mergeCell ref="Y1365:AD1365"/>
    <mergeCell ref="AE1365:AG1365"/>
    <mergeCell ref="AH1369:AJ1369"/>
    <mergeCell ref="AK1369:AN1369"/>
    <mergeCell ref="AO1369:AR1369"/>
    <mergeCell ref="C1370:E1370"/>
    <mergeCell ref="F1370:R1370"/>
    <mergeCell ref="S1370:U1370"/>
    <mergeCell ref="V1370:X1370"/>
    <mergeCell ref="Y1370:AD1370"/>
    <mergeCell ref="AE1370:AG1370"/>
    <mergeCell ref="AH1370:AJ1370"/>
    <mergeCell ref="C1369:E1369"/>
    <mergeCell ref="F1369:R1369"/>
    <mergeCell ref="S1369:U1369"/>
    <mergeCell ref="V1369:X1369"/>
    <mergeCell ref="Y1369:AD1369"/>
    <mergeCell ref="AE1369:AG1369"/>
    <mergeCell ref="AO1367:AR1367"/>
    <mergeCell ref="C1368:E1368"/>
    <mergeCell ref="F1368:R1368"/>
    <mergeCell ref="S1368:U1368"/>
    <mergeCell ref="V1368:X1368"/>
    <mergeCell ref="Y1368:AD1368"/>
    <mergeCell ref="AE1368:AG1368"/>
    <mergeCell ref="AH1368:AJ1368"/>
    <mergeCell ref="AK1368:AN1368"/>
    <mergeCell ref="AO1368:AR1368"/>
    <mergeCell ref="AO1374:AR1374"/>
    <mergeCell ref="Y1375:AN1375"/>
    <mergeCell ref="AO1375:AR1375"/>
    <mergeCell ref="C1377:H1377"/>
    <mergeCell ref="I1377:J1377"/>
    <mergeCell ref="K1377:Z1377"/>
    <mergeCell ref="AA1377:AB1377"/>
    <mergeCell ref="AC1377:AR1377"/>
    <mergeCell ref="AK1370:AN1370"/>
    <mergeCell ref="AO1370:AR1370"/>
    <mergeCell ref="C1371:X1371"/>
    <mergeCell ref="Y1371:AN1371"/>
    <mergeCell ref="AO1371:AR1371"/>
    <mergeCell ref="C1373:X1375"/>
    <mergeCell ref="Y1373:AN1373"/>
    <mergeCell ref="AO1373:AR1373"/>
    <mergeCell ref="Y1374:AG1374"/>
    <mergeCell ref="AH1374:AN1374"/>
    <mergeCell ref="C1380:H1380"/>
    <mergeCell ref="I1380:J1380"/>
    <mergeCell ref="K1380:Z1380"/>
    <mergeCell ref="AA1380:AB1380"/>
    <mergeCell ref="AC1380:AR1380"/>
    <mergeCell ref="C1381:H1381"/>
    <mergeCell ref="I1381:J1381"/>
    <mergeCell ref="K1381:Z1381"/>
    <mergeCell ref="AA1381:AB1381"/>
    <mergeCell ref="AC1381:AR1381"/>
    <mergeCell ref="C1378:H1378"/>
    <mergeCell ref="I1378:J1378"/>
    <mergeCell ref="K1378:Z1378"/>
    <mergeCell ref="AA1378:AB1378"/>
    <mergeCell ref="AC1378:AR1378"/>
    <mergeCell ref="C1379:H1379"/>
    <mergeCell ref="I1379:J1379"/>
    <mergeCell ref="K1379:Z1379"/>
    <mergeCell ref="AA1379:AB1379"/>
    <mergeCell ref="AC1379:AR1379"/>
    <mergeCell ref="C1394:E1395"/>
    <mergeCell ref="F1394:U1395"/>
    <mergeCell ref="V1394:X1395"/>
    <mergeCell ref="Y1394:AF1394"/>
    <mergeCell ref="AG1394:AN1394"/>
    <mergeCell ref="AO1394:AR1395"/>
    <mergeCell ref="Y1395:AB1395"/>
    <mergeCell ref="AC1395:AF1395"/>
    <mergeCell ref="AG1395:AJ1395"/>
    <mergeCell ref="AK1395:AN1395"/>
    <mergeCell ref="C1391:F1392"/>
    <mergeCell ref="G1391:J1392"/>
    <mergeCell ref="K1391:N1392"/>
    <mergeCell ref="O1391:AK1392"/>
    <mergeCell ref="AL1391:AO1392"/>
    <mergeCell ref="AP1391:AR1392"/>
    <mergeCell ref="A1375:B1375"/>
    <mergeCell ref="C1389:AR1390"/>
    <mergeCell ref="C1382:H1382"/>
    <mergeCell ref="I1382:J1382"/>
    <mergeCell ref="K1382:Z1382"/>
    <mergeCell ref="AA1382:AB1382"/>
    <mergeCell ref="AC1382:AR1382"/>
    <mergeCell ref="C1384:F1384"/>
    <mergeCell ref="G1384:AA1384"/>
    <mergeCell ref="AB1384:AI1387"/>
    <mergeCell ref="AJ1384:AR1387"/>
    <mergeCell ref="C1385:F1385"/>
    <mergeCell ref="G1385:AA1385"/>
    <mergeCell ref="C1386:F1386"/>
    <mergeCell ref="G1386:AA1386"/>
    <mergeCell ref="C1387:AA1387"/>
    <mergeCell ref="AK1398:AN1398"/>
    <mergeCell ref="AO1398:AR1398"/>
    <mergeCell ref="C1399:E1399"/>
    <mergeCell ref="F1399:U1399"/>
    <mergeCell ref="V1399:X1399"/>
    <mergeCell ref="Y1399:AB1399"/>
    <mergeCell ref="AC1399:AF1399"/>
    <mergeCell ref="AG1399:AJ1399"/>
    <mergeCell ref="AK1399:AN1399"/>
    <mergeCell ref="AO1399:AR1399"/>
    <mergeCell ref="C1398:E1398"/>
    <mergeCell ref="F1398:U1398"/>
    <mergeCell ref="V1398:X1398"/>
    <mergeCell ref="Y1398:AB1398"/>
    <mergeCell ref="AC1398:AF1398"/>
    <mergeCell ref="AG1398:AJ1398"/>
    <mergeCell ref="AK1396:AN1396"/>
    <mergeCell ref="AO1396:AR1396"/>
    <mergeCell ref="C1397:E1397"/>
    <mergeCell ref="F1397:U1397"/>
    <mergeCell ref="V1397:X1397"/>
    <mergeCell ref="Y1397:AB1397"/>
    <mergeCell ref="AC1397:AF1397"/>
    <mergeCell ref="AG1397:AJ1397"/>
    <mergeCell ref="AK1397:AN1397"/>
    <mergeCell ref="AO1397:AR1397"/>
    <mergeCell ref="C1396:E1396"/>
    <mergeCell ref="F1396:U1396"/>
    <mergeCell ref="V1396:X1396"/>
    <mergeCell ref="Y1396:AB1396"/>
    <mergeCell ref="AC1396:AF1396"/>
    <mergeCell ref="AG1396:AJ1396"/>
    <mergeCell ref="AK1402:AN1402"/>
    <mergeCell ref="AO1402:AR1402"/>
    <mergeCell ref="C1403:E1403"/>
    <mergeCell ref="F1403:U1403"/>
    <mergeCell ref="V1403:X1403"/>
    <mergeCell ref="Y1403:AB1403"/>
    <mergeCell ref="AC1403:AF1403"/>
    <mergeCell ref="AG1403:AJ1403"/>
    <mergeCell ref="AK1403:AN1403"/>
    <mergeCell ref="AO1403:AR1403"/>
    <mergeCell ref="C1402:E1402"/>
    <mergeCell ref="F1402:U1402"/>
    <mergeCell ref="V1402:X1402"/>
    <mergeCell ref="Y1402:AB1402"/>
    <mergeCell ref="AC1402:AF1402"/>
    <mergeCell ref="AG1402:AJ1402"/>
    <mergeCell ref="AK1400:AN1400"/>
    <mergeCell ref="AO1400:AR1400"/>
    <mergeCell ref="C1401:E1401"/>
    <mergeCell ref="F1401:U1401"/>
    <mergeCell ref="V1401:X1401"/>
    <mergeCell ref="Y1401:AB1401"/>
    <mergeCell ref="AC1401:AF1401"/>
    <mergeCell ref="AG1401:AJ1401"/>
    <mergeCell ref="AK1401:AN1401"/>
    <mergeCell ref="AO1401:AR1401"/>
    <mergeCell ref="C1400:E1400"/>
    <mergeCell ref="F1400:U1400"/>
    <mergeCell ref="V1400:X1400"/>
    <mergeCell ref="Y1400:AB1400"/>
    <mergeCell ref="AC1400:AF1400"/>
    <mergeCell ref="AG1400:AJ1400"/>
    <mergeCell ref="C1409:E1409"/>
    <mergeCell ref="F1409:AB1409"/>
    <mergeCell ref="AC1409:AF1409"/>
    <mergeCell ref="AG1409:AJ1409"/>
    <mergeCell ref="AK1409:AN1409"/>
    <mergeCell ref="AO1409:AR1409"/>
    <mergeCell ref="C1408:E1408"/>
    <mergeCell ref="F1408:AB1408"/>
    <mergeCell ref="AC1408:AF1408"/>
    <mergeCell ref="AG1408:AJ1408"/>
    <mergeCell ref="AK1408:AN1408"/>
    <mergeCell ref="AO1408:AR1408"/>
    <mergeCell ref="C1404:X1404"/>
    <mergeCell ref="Y1404:AN1404"/>
    <mergeCell ref="AO1404:AR1404"/>
    <mergeCell ref="C1406:E1407"/>
    <mergeCell ref="F1406:AB1407"/>
    <mergeCell ref="AC1406:AF1407"/>
    <mergeCell ref="AG1406:AJ1407"/>
    <mergeCell ref="AK1406:AN1407"/>
    <mergeCell ref="AO1406:AR1407"/>
    <mergeCell ref="C1412:E1412"/>
    <mergeCell ref="F1412:AB1412"/>
    <mergeCell ref="AC1412:AF1412"/>
    <mergeCell ref="AG1412:AJ1412"/>
    <mergeCell ref="AK1412:AN1412"/>
    <mergeCell ref="AO1412:AR1412"/>
    <mergeCell ref="C1411:E1411"/>
    <mergeCell ref="F1411:AB1411"/>
    <mergeCell ref="AC1411:AF1411"/>
    <mergeCell ref="AG1411:AJ1411"/>
    <mergeCell ref="AK1411:AN1411"/>
    <mergeCell ref="AO1411:AR1411"/>
    <mergeCell ref="C1410:E1410"/>
    <mergeCell ref="F1410:AB1410"/>
    <mergeCell ref="AC1410:AF1410"/>
    <mergeCell ref="AG1410:AJ1410"/>
    <mergeCell ref="AK1410:AN1410"/>
    <mergeCell ref="AO1410:AR1410"/>
    <mergeCell ref="C1415:E1415"/>
    <mergeCell ref="F1415:AB1415"/>
    <mergeCell ref="AC1415:AF1415"/>
    <mergeCell ref="AG1415:AJ1415"/>
    <mergeCell ref="AK1415:AN1415"/>
    <mergeCell ref="AO1415:AR1415"/>
    <mergeCell ref="C1414:E1414"/>
    <mergeCell ref="F1414:AB1414"/>
    <mergeCell ref="AC1414:AF1414"/>
    <mergeCell ref="AG1414:AJ1414"/>
    <mergeCell ref="AK1414:AN1414"/>
    <mergeCell ref="AO1414:AR1414"/>
    <mergeCell ref="C1413:E1413"/>
    <mergeCell ref="F1413:AB1413"/>
    <mergeCell ref="AC1413:AF1413"/>
    <mergeCell ref="AG1413:AJ1413"/>
    <mergeCell ref="AK1413:AN1413"/>
    <mergeCell ref="AO1413:AR1413"/>
    <mergeCell ref="C1422:E1423"/>
    <mergeCell ref="F1422:AB1423"/>
    <mergeCell ref="AC1422:AF1423"/>
    <mergeCell ref="AG1422:AJ1423"/>
    <mergeCell ref="AK1422:AN1423"/>
    <mergeCell ref="AO1422:AR1423"/>
    <mergeCell ref="C1419:X1419"/>
    <mergeCell ref="Y1419:AN1419"/>
    <mergeCell ref="AO1419:AR1419"/>
    <mergeCell ref="C1420:P1420"/>
    <mergeCell ref="Q1420:U1420"/>
    <mergeCell ref="V1420:X1420"/>
    <mergeCell ref="Y1420:AN1420"/>
    <mergeCell ref="AO1420:AR1420"/>
    <mergeCell ref="C1416:X1416"/>
    <mergeCell ref="Y1416:AF1416"/>
    <mergeCell ref="AG1416:AJ1416"/>
    <mergeCell ref="AK1416:AN1416"/>
    <mergeCell ref="AO1416:AR1416"/>
    <mergeCell ref="C1417:X1417"/>
    <mergeCell ref="Y1417:AN1417"/>
    <mergeCell ref="AO1417:AR1417"/>
    <mergeCell ref="C1426:E1426"/>
    <mergeCell ref="F1426:AB1426"/>
    <mergeCell ref="AC1426:AF1426"/>
    <mergeCell ref="AG1426:AJ1426"/>
    <mergeCell ref="AK1426:AN1426"/>
    <mergeCell ref="AO1426:AR1426"/>
    <mergeCell ref="C1425:E1425"/>
    <mergeCell ref="F1425:AB1425"/>
    <mergeCell ref="AC1425:AF1425"/>
    <mergeCell ref="AG1425:AJ1425"/>
    <mergeCell ref="AK1425:AN1425"/>
    <mergeCell ref="AO1425:AR1425"/>
    <mergeCell ref="C1424:E1424"/>
    <mergeCell ref="F1424:AB1424"/>
    <mergeCell ref="AC1424:AF1424"/>
    <mergeCell ref="AG1424:AJ1424"/>
    <mergeCell ref="AK1424:AN1424"/>
    <mergeCell ref="AO1424:AR1424"/>
    <mergeCell ref="C1429:E1429"/>
    <mergeCell ref="F1429:AB1429"/>
    <mergeCell ref="AC1429:AF1429"/>
    <mergeCell ref="AG1429:AJ1429"/>
    <mergeCell ref="AK1429:AN1429"/>
    <mergeCell ref="AO1429:AR1429"/>
    <mergeCell ref="C1428:E1428"/>
    <mergeCell ref="F1428:AB1428"/>
    <mergeCell ref="AC1428:AF1428"/>
    <mergeCell ref="AG1428:AJ1428"/>
    <mergeCell ref="AK1428:AN1428"/>
    <mergeCell ref="AO1428:AR1428"/>
    <mergeCell ref="C1427:E1427"/>
    <mergeCell ref="F1427:AB1427"/>
    <mergeCell ref="AC1427:AF1427"/>
    <mergeCell ref="AG1427:AJ1427"/>
    <mergeCell ref="AK1427:AN1427"/>
    <mergeCell ref="AO1427:AR1427"/>
    <mergeCell ref="C1432:X1432"/>
    <mergeCell ref="Y1432:AN1432"/>
    <mergeCell ref="AO1432:AR1432"/>
    <mergeCell ref="C1434:E1435"/>
    <mergeCell ref="F1434:R1435"/>
    <mergeCell ref="S1434:U1435"/>
    <mergeCell ref="V1434:X1435"/>
    <mergeCell ref="Y1434:AD1435"/>
    <mergeCell ref="AE1434:AG1435"/>
    <mergeCell ref="AH1434:AJ1435"/>
    <mergeCell ref="C1431:E1431"/>
    <mergeCell ref="F1431:AB1431"/>
    <mergeCell ref="AC1431:AF1431"/>
    <mergeCell ref="AG1431:AJ1431"/>
    <mergeCell ref="AK1431:AN1431"/>
    <mergeCell ref="AO1431:AR1431"/>
    <mergeCell ref="C1430:E1430"/>
    <mergeCell ref="F1430:AB1430"/>
    <mergeCell ref="AC1430:AF1430"/>
    <mergeCell ref="AG1430:AJ1430"/>
    <mergeCell ref="AK1430:AN1430"/>
    <mergeCell ref="AO1430:AR1430"/>
    <mergeCell ref="AO1436:AR1436"/>
    <mergeCell ref="C1437:E1437"/>
    <mergeCell ref="F1437:R1437"/>
    <mergeCell ref="S1437:U1437"/>
    <mergeCell ref="V1437:X1437"/>
    <mergeCell ref="Y1437:AD1437"/>
    <mergeCell ref="AE1437:AG1437"/>
    <mergeCell ref="AH1437:AJ1437"/>
    <mergeCell ref="AK1437:AN1437"/>
    <mergeCell ref="AO1437:AR1437"/>
    <mergeCell ref="AK1434:AN1435"/>
    <mergeCell ref="AO1434:AR1435"/>
    <mergeCell ref="C1436:E1436"/>
    <mergeCell ref="F1436:R1436"/>
    <mergeCell ref="S1436:U1436"/>
    <mergeCell ref="V1436:X1436"/>
    <mergeCell ref="Y1436:AD1436"/>
    <mergeCell ref="AE1436:AG1436"/>
    <mergeCell ref="AH1436:AJ1436"/>
    <mergeCell ref="AK1436:AN1436"/>
    <mergeCell ref="AK1439:AN1439"/>
    <mergeCell ref="AO1439:AR1439"/>
    <mergeCell ref="C1440:E1440"/>
    <mergeCell ref="F1440:R1440"/>
    <mergeCell ref="S1440:U1440"/>
    <mergeCell ref="V1440:X1440"/>
    <mergeCell ref="Y1440:AD1440"/>
    <mergeCell ref="AE1440:AG1440"/>
    <mergeCell ref="AH1440:AJ1440"/>
    <mergeCell ref="AK1440:AN1440"/>
    <mergeCell ref="AH1438:AJ1438"/>
    <mergeCell ref="AK1438:AN1438"/>
    <mergeCell ref="AO1438:AR1438"/>
    <mergeCell ref="C1439:E1439"/>
    <mergeCell ref="F1439:R1439"/>
    <mergeCell ref="S1439:U1439"/>
    <mergeCell ref="V1439:X1439"/>
    <mergeCell ref="Y1439:AD1439"/>
    <mergeCell ref="AE1439:AG1439"/>
    <mergeCell ref="AH1439:AJ1439"/>
    <mergeCell ref="C1438:E1438"/>
    <mergeCell ref="F1438:R1438"/>
    <mergeCell ref="S1438:U1438"/>
    <mergeCell ref="V1438:X1438"/>
    <mergeCell ref="Y1438:AD1438"/>
    <mergeCell ref="AE1438:AG1438"/>
    <mergeCell ref="AH1442:AJ1442"/>
    <mergeCell ref="AK1442:AN1442"/>
    <mergeCell ref="AO1442:AR1442"/>
    <mergeCell ref="C1443:E1443"/>
    <mergeCell ref="F1443:R1443"/>
    <mergeCell ref="S1443:U1443"/>
    <mergeCell ref="V1443:X1443"/>
    <mergeCell ref="Y1443:AD1443"/>
    <mergeCell ref="AE1443:AG1443"/>
    <mergeCell ref="AH1443:AJ1443"/>
    <mergeCell ref="C1442:E1442"/>
    <mergeCell ref="F1442:R1442"/>
    <mergeCell ref="S1442:U1442"/>
    <mergeCell ref="V1442:X1442"/>
    <mergeCell ref="Y1442:AD1442"/>
    <mergeCell ref="AE1442:AG1442"/>
    <mergeCell ref="AO1440:AR1440"/>
    <mergeCell ref="C1441:E1441"/>
    <mergeCell ref="F1441:R1441"/>
    <mergeCell ref="S1441:U1441"/>
    <mergeCell ref="V1441:X1441"/>
    <mergeCell ref="Y1441:AD1441"/>
    <mergeCell ref="AE1441:AG1441"/>
    <mergeCell ref="AH1441:AJ1441"/>
    <mergeCell ref="AK1441:AN1441"/>
    <mergeCell ref="AO1441:AR1441"/>
    <mergeCell ref="K1452:Z1452"/>
    <mergeCell ref="AA1452:AB1452"/>
    <mergeCell ref="AC1452:AR1452"/>
    <mergeCell ref="AO1447:AR1447"/>
    <mergeCell ref="Y1448:AN1448"/>
    <mergeCell ref="AO1448:AR1448"/>
    <mergeCell ref="C1450:H1450"/>
    <mergeCell ref="I1450:J1450"/>
    <mergeCell ref="K1450:Z1450"/>
    <mergeCell ref="AA1450:AB1450"/>
    <mergeCell ref="AC1450:AR1450"/>
    <mergeCell ref="AK1443:AN1443"/>
    <mergeCell ref="AO1443:AR1443"/>
    <mergeCell ref="C1444:X1444"/>
    <mergeCell ref="Y1444:AN1444"/>
    <mergeCell ref="AO1444:AR1444"/>
    <mergeCell ref="C1446:X1448"/>
    <mergeCell ref="Y1446:AN1446"/>
    <mergeCell ref="AO1446:AR1446"/>
    <mergeCell ref="Y1447:AG1447"/>
    <mergeCell ref="AH1447:AN1447"/>
    <mergeCell ref="A1448:B1448"/>
    <mergeCell ref="C1455:H1455"/>
    <mergeCell ref="I1455:J1455"/>
    <mergeCell ref="K1455:Z1455"/>
    <mergeCell ref="AA1455:AB1455"/>
    <mergeCell ref="C1453:H1453"/>
    <mergeCell ref="I1453:J1453"/>
    <mergeCell ref="K1453:Z1453"/>
    <mergeCell ref="AA1453:AB1453"/>
    <mergeCell ref="C1451:H1451"/>
    <mergeCell ref="AC1455:AR1455"/>
    <mergeCell ref="C1457:F1457"/>
    <mergeCell ref="G1457:AA1457"/>
    <mergeCell ref="AB1457:AI1460"/>
    <mergeCell ref="AJ1457:AR1460"/>
    <mergeCell ref="C1458:F1458"/>
    <mergeCell ref="G1458:AA1458"/>
    <mergeCell ref="C1459:F1459"/>
    <mergeCell ref="G1459:AA1459"/>
    <mergeCell ref="C1460:AA1460"/>
    <mergeCell ref="AC1453:AR1453"/>
    <mergeCell ref="C1454:H1454"/>
    <mergeCell ref="I1454:J1454"/>
    <mergeCell ref="K1454:Z1454"/>
    <mergeCell ref="AA1454:AB1454"/>
    <mergeCell ref="AC1454:AR1454"/>
    <mergeCell ref="I1451:J1451"/>
    <mergeCell ref="K1451:Z1451"/>
    <mergeCell ref="AA1451:AB1451"/>
    <mergeCell ref="AC1451:AR1451"/>
    <mergeCell ref="C1452:H1452"/>
    <mergeCell ref="I1452:J1452"/>
  </mergeCells>
  <printOptions horizontalCentered="1" verticalCentered="1"/>
  <pageMargins left="0.78740157480314965" right="0.59055118110236227" top="0.78740157480314965" bottom="0.39370078740157483" header="0" footer="0"/>
  <pageSetup paperSize="9" scale="46" orientation="portrait" horizontalDpi="4294967294" verticalDpi="300" r:id="rId1"/>
  <headerFooter alignWithMargins="0"/>
  <rowBreaks count="19" manualBreakCount="19">
    <brk id="73" min="2" max="43" man="1"/>
    <brk id="146" min="2" max="43" man="1"/>
    <brk id="219" min="2" max="43" man="1"/>
    <brk id="292" min="2" max="43" man="1"/>
    <brk id="365" min="2" max="43" man="1"/>
    <brk id="438" min="2" max="43" man="1"/>
    <brk id="511" min="2" max="43" man="1"/>
    <brk id="584" min="2" max="43" man="1"/>
    <brk id="657" min="2" max="43" man="1"/>
    <brk id="730" min="2" max="43" man="1"/>
    <brk id="803" min="2" max="43" man="1"/>
    <brk id="876" min="2" max="43" man="1"/>
    <brk id="949" min="2" max="43" man="1"/>
    <brk id="1022" min="2" max="43" man="1"/>
    <brk id="1095" min="2" max="43" man="1"/>
    <brk id="1168" min="2" max="43" man="1"/>
    <brk id="1241" min="2" max="43" man="1"/>
    <brk id="1314" min="2" max="43" man="1"/>
    <brk id="1387" min="2" max="4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2:AR74"/>
  <sheetViews>
    <sheetView showGridLines="0" showZeros="0" view="pageBreakPreview" zoomScale="60" zoomScaleNormal="67" zoomScaleSheetLayoutView="67" workbookViewId="0">
      <selection activeCell="AB71" sqref="AB71:AI74"/>
    </sheetView>
  </sheetViews>
  <sheetFormatPr defaultColWidth="3.7109375" defaultRowHeight="18" customHeight="1"/>
  <cols>
    <col min="1" max="2" width="9.140625" style="7" customWidth="1"/>
    <col min="3" max="5" width="5.42578125" style="7" customWidth="1"/>
    <col min="6" max="20" width="3.7109375" style="7" customWidth="1"/>
    <col min="21" max="21" width="3.42578125" style="7" customWidth="1"/>
    <col min="22" max="29" width="3.7109375" style="7" customWidth="1"/>
    <col min="30" max="30" width="3.5703125" style="7" customWidth="1"/>
    <col min="31" max="31" width="4.7109375" style="7" customWidth="1"/>
    <col min="32" max="32" width="3.85546875" style="7" customWidth="1"/>
    <col min="33" max="33" width="4.28515625" style="7" customWidth="1"/>
    <col min="34" max="36" width="3.85546875" style="7" customWidth="1"/>
    <col min="37" max="40" width="3.42578125" style="7" customWidth="1"/>
    <col min="41" max="16384" width="3.7109375" style="7"/>
  </cols>
  <sheetData>
    <row r="2" spans="3:44" ht="18" customHeight="1">
      <c r="C2" s="850" t="s">
        <v>64</v>
      </c>
      <c r="D2" s="851"/>
      <c r="E2" s="851"/>
      <c r="F2" s="851"/>
      <c r="G2" s="851"/>
      <c r="H2" s="851"/>
      <c r="I2" s="851"/>
      <c r="J2" s="851"/>
      <c r="K2" s="851"/>
      <c r="L2" s="851"/>
      <c r="M2" s="851"/>
      <c r="N2" s="851"/>
      <c r="O2" s="851"/>
      <c r="P2" s="851"/>
      <c r="Q2" s="851"/>
      <c r="R2" s="851"/>
      <c r="S2" s="851"/>
      <c r="T2" s="851"/>
      <c r="U2" s="851"/>
      <c r="V2" s="851"/>
      <c r="W2" s="851"/>
      <c r="X2" s="851"/>
      <c r="Y2" s="851"/>
      <c r="Z2" s="851"/>
      <c r="AA2" s="851"/>
      <c r="AB2" s="851"/>
      <c r="AC2" s="851"/>
      <c r="AD2" s="851"/>
      <c r="AE2" s="851"/>
      <c r="AF2" s="851"/>
      <c r="AG2" s="851"/>
      <c r="AH2" s="851"/>
      <c r="AI2" s="851"/>
      <c r="AJ2" s="851"/>
      <c r="AK2" s="851"/>
      <c r="AL2" s="851"/>
      <c r="AM2" s="851"/>
      <c r="AN2" s="851"/>
      <c r="AO2" s="851"/>
      <c r="AP2" s="851"/>
      <c r="AQ2" s="851"/>
      <c r="AR2" s="852"/>
    </row>
    <row r="3" spans="3:44" ht="18" customHeight="1">
      <c r="C3" s="853"/>
      <c r="D3" s="854"/>
      <c r="E3" s="854"/>
      <c r="F3" s="854"/>
      <c r="G3" s="854"/>
      <c r="H3" s="854"/>
      <c r="I3" s="854"/>
      <c r="J3" s="854"/>
      <c r="K3" s="854"/>
      <c r="L3" s="854"/>
      <c r="M3" s="854"/>
      <c r="N3" s="854"/>
      <c r="O3" s="854"/>
      <c r="P3" s="854"/>
      <c r="Q3" s="854"/>
      <c r="R3" s="854"/>
      <c r="S3" s="854"/>
      <c r="T3" s="854"/>
      <c r="U3" s="854"/>
      <c r="V3" s="854"/>
      <c r="W3" s="854"/>
      <c r="X3" s="854"/>
      <c r="Y3" s="854"/>
      <c r="Z3" s="854"/>
      <c r="AA3" s="854"/>
      <c r="AB3" s="854"/>
      <c r="AC3" s="854"/>
      <c r="AD3" s="854"/>
      <c r="AE3" s="854"/>
      <c r="AF3" s="854"/>
      <c r="AG3" s="854"/>
      <c r="AH3" s="854"/>
      <c r="AI3" s="854"/>
      <c r="AJ3" s="854"/>
      <c r="AK3" s="854"/>
      <c r="AL3" s="854"/>
      <c r="AM3" s="854"/>
      <c r="AN3" s="854"/>
      <c r="AO3" s="854"/>
      <c r="AP3" s="854"/>
      <c r="AQ3" s="854"/>
      <c r="AR3" s="855"/>
    </row>
    <row r="4" spans="3:44" ht="18" customHeight="1">
      <c r="C4" s="856" t="s">
        <v>65</v>
      </c>
      <c r="D4" s="857"/>
      <c r="E4" s="857"/>
      <c r="F4" s="857"/>
      <c r="G4" s="860" t="s">
        <v>463</v>
      </c>
      <c r="H4" s="860"/>
      <c r="I4" s="860"/>
      <c r="J4" s="861"/>
      <c r="K4" s="864" t="s">
        <v>66</v>
      </c>
      <c r="L4" s="865"/>
      <c r="M4" s="865"/>
      <c r="N4" s="865"/>
      <c r="O4" s="526" t="s">
        <v>464</v>
      </c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26"/>
      <c r="AE4" s="526"/>
      <c r="AF4" s="526"/>
      <c r="AG4" s="526"/>
      <c r="AH4" s="526"/>
      <c r="AI4" s="526"/>
      <c r="AJ4" s="526"/>
      <c r="AK4" s="527"/>
      <c r="AL4" s="864" t="s">
        <v>67</v>
      </c>
      <c r="AM4" s="865"/>
      <c r="AN4" s="865"/>
      <c r="AO4" s="865"/>
      <c r="AP4" s="843" t="s">
        <v>189</v>
      </c>
      <c r="AQ4" s="843"/>
      <c r="AR4" s="844"/>
    </row>
    <row r="5" spans="3:44" ht="18" customHeight="1">
      <c r="C5" s="858"/>
      <c r="D5" s="859"/>
      <c r="E5" s="859"/>
      <c r="F5" s="859"/>
      <c r="G5" s="862"/>
      <c r="H5" s="862"/>
      <c r="I5" s="862"/>
      <c r="J5" s="863"/>
      <c r="K5" s="866"/>
      <c r="L5" s="867"/>
      <c r="M5" s="867"/>
      <c r="N5" s="867"/>
      <c r="O5" s="528"/>
      <c r="P5" s="528"/>
      <c r="Q5" s="528"/>
      <c r="R5" s="528"/>
      <c r="S5" s="528"/>
      <c r="T5" s="528"/>
      <c r="U5" s="528"/>
      <c r="V5" s="528"/>
      <c r="W5" s="528"/>
      <c r="X5" s="528"/>
      <c r="Y5" s="528"/>
      <c r="Z5" s="528"/>
      <c r="AA5" s="528"/>
      <c r="AB5" s="528"/>
      <c r="AC5" s="528"/>
      <c r="AD5" s="528"/>
      <c r="AE5" s="528"/>
      <c r="AF5" s="528"/>
      <c r="AG5" s="528"/>
      <c r="AH5" s="528"/>
      <c r="AI5" s="528"/>
      <c r="AJ5" s="528"/>
      <c r="AK5" s="529"/>
      <c r="AL5" s="866"/>
      <c r="AM5" s="867"/>
      <c r="AN5" s="867"/>
      <c r="AO5" s="867"/>
      <c r="AP5" s="845"/>
      <c r="AQ5" s="845"/>
      <c r="AR5" s="846"/>
    </row>
    <row r="7" spans="3:44" ht="18" customHeight="1">
      <c r="C7" s="794" t="s">
        <v>43</v>
      </c>
      <c r="D7" s="774"/>
      <c r="E7" s="775"/>
      <c r="F7" s="773" t="s">
        <v>68</v>
      </c>
      <c r="G7" s="774"/>
      <c r="H7" s="774"/>
      <c r="I7" s="774"/>
      <c r="J7" s="774"/>
      <c r="K7" s="774"/>
      <c r="L7" s="774"/>
      <c r="M7" s="774"/>
      <c r="N7" s="774"/>
      <c r="O7" s="774"/>
      <c r="P7" s="774"/>
      <c r="Q7" s="774"/>
      <c r="R7" s="774"/>
      <c r="S7" s="774"/>
      <c r="T7" s="774"/>
      <c r="U7" s="775"/>
      <c r="V7" s="773" t="s">
        <v>249</v>
      </c>
      <c r="W7" s="774"/>
      <c r="X7" s="775"/>
      <c r="Y7" s="847" t="s">
        <v>69</v>
      </c>
      <c r="Z7" s="848"/>
      <c r="AA7" s="848"/>
      <c r="AB7" s="848"/>
      <c r="AC7" s="848"/>
      <c r="AD7" s="848"/>
      <c r="AE7" s="848"/>
      <c r="AF7" s="849"/>
      <c r="AG7" s="847" t="s">
        <v>70</v>
      </c>
      <c r="AH7" s="848"/>
      <c r="AI7" s="848"/>
      <c r="AJ7" s="848"/>
      <c r="AK7" s="848"/>
      <c r="AL7" s="848"/>
      <c r="AM7" s="848"/>
      <c r="AN7" s="849"/>
      <c r="AO7" s="773" t="s">
        <v>71</v>
      </c>
      <c r="AP7" s="774"/>
      <c r="AQ7" s="774"/>
      <c r="AR7" s="779"/>
    </row>
    <row r="8" spans="3:44" ht="18" customHeight="1">
      <c r="C8" s="795"/>
      <c r="D8" s="777"/>
      <c r="E8" s="778"/>
      <c r="F8" s="776"/>
      <c r="G8" s="777"/>
      <c r="H8" s="777"/>
      <c r="I8" s="777"/>
      <c r="J8" s="777"/>
      <c r="K8" s="777"/>
      <c r="L8" s="777"/>
      <c r="M8" s="777"/>
      <c r="N8" s="777"/>
      <c r="O8" s="777"/>
      <c r="P8" s="777"/>
      <c r="Q8" s="777"/>
      <c r="R8" s="777"/>
      <c r="S8" s="777"/>
      <c r="T8" s="777"/>
      <c r="U8" s="778"/>
      <c r="V8" s="776"/>
      <c r="W8" s="777"/>
      <c r="X8" s="778"/>
      <c r="Y8" s="834" t="s">
        <v>72</v>
      </c>
      <c r="Z8" s="835"/>
      <c r="AA8" s="835"/>
      <c r="AB8" s="836"/>
      <c r="AC8" s="834" t="s">
        <v>73</v>
      </c>
      <c r="AD8" s="835"/>
      <c r="AE8" s="835"/>
      <c r="AF8" s="836"/>
      <c r="AG8" s="834" t="s">
        <v>72</v>
      </c>
      <c r="AH8" s="835"/>
      <c r="AI8" s="835"/>
      <c r="AJ8" s="836"/>
      <c r="AK8" s="834" t="s">
        <v>73</v>
      </c>
      <c r="AL8" s="835"/>
      <c r="AM8" s="835"/>
      <c r="AN8" s="836"/>
      <c r="AO8" s="776"/>
      <c r="AP8" s="777"/>
      <c r="AQ8" s="777"/>
      <c r="AR8" s="780"/>
    </row>
    <row r="9" spans="3:44" ht="18" customHeight="1">
      <c r="C9" s="781"/>
      <c r="D9" s="782"/>
      <c r="E9" s="783"/>
      <c r="F9" s="493"/>
      <c r="G9" s="493"/>
      <c r="H9" s="493"/>
      <c r="I9" s="493"/>
      <c r="J9" s="493"/>
      <c r="K9" s="493"/>
      <c r="L9" s="493"/>
      <c r="M9" s="493"/>
      <c r="N9" s="493"/>
      <c r="O9" s="493"/>
      <c r="P9" s="493"/>
      <c r="Q9" s="493"/>
      <c r="R9" s="493"/>
      <c r="S9" s="493"/>
      <c r="T9" s="493"/>
      <c r="U9" s="493"/>
      <c r="V9" s="837"/>
      <c r="W9" s="838"/>
      <c r="X9" s="839"/>
      <c r="Y9" s="837"/>
      <c r="Z9" s="838"/>
      <c r="AA9" s="838"/>
      <c r="AB9" s="839"/>
      <c r="AC9" s="840"/>
      <c r="AD9" s="841"/>
      <c r="AE9" s="841"/>
      <c r="AF9" s="842"/>
      <c r="AG9" s="491"/>
      <c r="AH9" s="491"/>
      <c r="AI9" s="491"/>
      <c r="AJ9" s="491"/>
      <c r="AK9" s="491"/>
      <c r="AL9" s="491"/>
      <c r="AM9" s="491"/>
      <c r="AN9" s="491"/>
      <c r="AO9" s="491"/>
      <c r="AP9" s="491"/>
      <c r="AQ9" s="491"/>
      <c r="AR9" s="492"/>
    </row>
    <row r="10" spans="3:44" ht="18" customHeight="1">
      <c r="C10" s="758"/>
      <c r="D10" s="759"/>
      <c r="E10" s="760"/>
      <c r="F10" s="493"/>
      <c r="G10" s="493"/>
      <c r="H10" s="493"/>
      <c r="I10" s="493"/>
      <c r="J10" s="493"/>
      <c r="K10" s="493"/>
      <c r="L10" s="493"/>
      <c r="M10" s="493"/>
      <c r="N10" s="493"/>
      <c r="O10" s="493"/>
      <c r="P10" s="493"/>
      <c r="Q10" s="493"/>
      <c r="R10" s="493"/>
      <c r="S10" s="493"/>
      <c r="T10" s="493"/>
      <c r="U10" s="493"/>
      <c r="V10" s="466"/>
      <c r="W10" s="467"/>
      <c r="X10" s="468"/>
      <c r="Y10" s="466"/>
      <c r="Z10" s="467"/>
      <c r="AA10" s="467"/>
      <c r="AB10" s="468"/>
      <c r="AC10" s="828"/>
      <c r="AD10" s="829"/>
      <c r="AE10" s="829"/>
      <c r="AF10" s="830"/>
      <c r="AG10" s="491"/>
      <c r="AH10" s="491"/>
      <c r="AI10" s="491"/>
      <c r="AJ10" s="491"/>
      <c r="AK10" s="491"/>
      <c r="AL10" s="491"/>
      <c r="AM10" s="491"/>
      <c r="AN10" s="491"/>
      <c r="AO10" s="491"/>
      <c r="AP10" s="491"/>
      <c r="AQ10" s="491"/>
      <c r="AR10" s="492"/>
    </row>
    <row r="11" spans="3:44" ht="18" customHeight="1">
      <c r="C11" s="758"/>
      <c r="D11" s="759"/>
      <c r="E11" s="760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3"/>
      <c r="Q11" s="493"/>
      <c r="R11" s="493"/>
      <c r="S11" s="493"/>
      <c r="T11" s="493"/>
      <c r="U11" s="493"/>
      <c r="V11" s="466"/>
      <c r="W11" s="467"/>
      <c r="X11" s="468"/>
      <c r="Y11" s="466"/>
      <c r="Z11" s="467"/>
      <c r="AA11" s="467"/>
      <c r="AB11" s="468"/>
      <c r="AC11" s="828"/>
      <c r="AD11" s="829"/>
      <c r="AE11" s="829"/>
      <c r="AF11" s="830"/>
      <c r="AG11" s="491"/>
      <c r="AH11" s="491"/>
      <c r="AI11" s="491"/>
      <c r="AJ11" s="491"/>
      <c r="AK11" s="491"/>
      <c r="AL11" s="491"/>
      <c r="AM11" s="491"/>
      <c r="AN11" s="491"/>
      <c r="AO11" s="491"/>
      <c r="AP11" s="491"/>
      <c r="AQ11" s="491"/>
      <c r="AR11" s="492"/>
    </row>
    <row r="12" spans="3:44" ht="18" customHeight="1">
      <c r="C12" s="758"/>
      <c r="D12" s="759"/>
      <c r="E12" s="760"/>
      <c r="F12" s="493"/>
      <c r="G12" s="493"/>
      <c r="H12" s="493"/>
      <c r="I12" s="493"/>
      <c r="J12" s="493"/>
      <c r="K12" s="493"/>
      <c r="L12" s="493"/>
      <c r="M12" s="493"/>
      <c r="N12" s="493"/>
      <c r="O12" s="493"/>
      <c r="P12" s="493"/>
      <c r="Q12" s="493"/>
      <c r="R12" s="493"/>
      <c r="S12" s="493"/>
      <c r="T12" s="493"/>
      <c r="U12" s="493"/>
      <c r="V12" s="466"/>
      <c r="W12" s="467"/>
      <c r="X12" s="468"/>
      <c r="Y12" s="466"/>
      <c r="Z12" s="467"/>
      <c r="AA12" s="467"/>
      <c r="AB12" s="468"/>
      <c r="AC12" s="828"/>
      <c r="AD12" s="829"/>
      <c r="AE12" s="829"/>
      <c r="AF12" s="830"/>
      <c r="AG12" s="491"/>
      <c r="AH12" s="491"/>
      <c r="AI12" s="491"/>
      <c r="AJ12" s="491"/>
      <c r="AK12" s="491"/>
      <c r="AL12" s="491"/>
      <c r="AM12" s="491"/>
      <c r="AN12" s="491"/>
      <c r="AO12" s="491"/>
      <c r="AP12" s="491"/>
      <c r="AQ12" s="491"/>
      <c r="AR12" s="492"/>
    </row>
    <row r="13" spans="3:44" ht="18" customHeight="1">
      <c r="C13" s="758"/>
      <c r="D13" s="759"/>
      <c r="E13" s="760"/>
      <c r="F13" s="493"/>
      <c r="G13" s="493"/>
      <c r="H13" s="493"/>
      <c r="I13" s="493"/>
      <c r="J13" s="493"/>
      <c r="K13" s="493"/>
      <c r="L13" s="493"/>
      <c r="M13" s="493"/>
      <c r="N13" s="493"/>
      <c r="O13" s="493"/>
      <c r="P13" s="493"/>
      <c r="Q13" s="493"/>
      <c r="R13" s="493"/>
      <c r="S13" s="493"/>
      <c r="T13" s="493"/>
      <c r="U13" s="493"/>
      <c r="V13" s="466"/>
      <c r="W13" s="467"/>
      <c r="X13" s="468"/>
      <c r="Y13" s="466"/>
      <c r="Z13" s="467"/>
      <c r="AA13" s="467"/>
      <c r="AB13" s="468"/>
      <c r="AC13" s="828"/>
      <c r="AD13" s="829"/>
      <c r="AE13" s="829"/>
      <c r="AF13" s="830"/>
      <c r="AG13" s="491"/>
      <c r="AH13" s="491"/>
      <c r="AI13" s="491"/>
      <c r="AJ13" s="491"/>
      <c r="AK13" s="491"/>
      <c r="AL13" s="491"/>
      <c r="AM13" s="491"/>
      <c r="AN13" s="491"/>
      <c r="AO13" s="491"/>
      <c r="AP13" s="491"/>
      <c r="AQ13" s="491"/>
      <c r="AR13" s="492"/>
    </row>
    <row r="14" spans="3:44" ht="18" customHeight="1">
      <c r="C14" s="758"/>
      <c r="D14" s="759"/>
      <c r="E14" s="760"/>
      <c r="F14" s="493"/>
      <c r="G14" s="493"/>
      <c r="H14" s="493"/>
      <c r="I14" s="493"/>
      <c r="J14" s="493"/>
      <c r="K14" s="493"/>
      <c r="L14" s="493"/>
      <c r="M14" s="493"/>
      <c r="N14" s="493"/>
      <c r="O14" s="493"/>
      <c r="P14" s="493"/>
      <c r="Q14" s="493"/>
      <c r="R14" s="493"/>
      <c r="S14" s="493"/>
      <c r="T14" s="493"/>
      <c r="U14" s="493"/>
      <c r="V14" s="466"/>
      <c r="W14" s="467"/>
      <c r="X14" s="468"/>
      <c r="Y14" s="466"/>
      <c r="Z14" s="467"/>
      <c r="AA14" s="467"/>
      <c r="AB14" s="468"/>
      <c r="AC14" s="828"/>
      <c r="AD14" s="829"/>
      <c r="AE14" s="829"/>
      <c r="AF14" s="830"/>
      <c r="AG14" s="491"/>
      <c r="AH14" s="491"/>
      <c r="AI14" s="491"/>
      <c r="AJ14" s="491"/>
      <c r="AK14" s="491"/>
      <c r="AL14" s="491"/>
      <c r="AM14" s="491"/>
      <c r="AN14" s="491"/>
      <c r="AO14" s="491"/>
      <c r="AP14" s="491"/>
      <c r="AQ14" s="491"/>
      <c r="AR14" s="492"/>
    </row>
    <row r="15" spans="3:44" ht="18" customHeight="1">
      <c r="C15" s="758"/>
      <c r="D15" s="759"/>
      <c r="E15" s="760"/>
      <c r="F15" s="796"/>
      <c r="G15" s="797"/>
      <c r="H15" s="797"/>
      <c r="I15" s="797"/>
      <c r="J15" s="797"/>
      <c r="K15" s="797"/>
      <c r="L15" s="797"/>
      <c r="M15" s="797"/>
      <c r="N15" s="797"/>
      <c r="O15" s="797"/>
      <c r="P15" s="797"/>
      <c r="Q15" s="797"/>
      <c r="R15" s="797"/>
      <c r="S15" s="797"/>
      <c r="T15" s="797"/>
      <c r="U15" s="798"/>
      <c r="V15" s="466"/>
      <c r="W15" s="467"/>
      <c r="X15" s="468"/>
      <c r="Y15" s="466"/>
      <c r="Z15" s="467"/>
      <c r="AA15" s="467"/>
      <c r="AB15" s="468"/>
      <c r="AC15" s="831"/>
      <c r="AD15" s="832"/>
      <c r="AE15" s="832"/>
      <c r="AF15" s="833"/>
      <c r="AG15" s="466"/>
      <c r="AH15" s="467"/>
      <c r="AI15" s="467"/>
      <c r="AJ15" s="468"/>
      <c r="AK15" s="466"/>
      <c r="AL15" s="467"/>
      <c r="AM15" s="467"/>
      <c r="AN15" s="468"/>
      <c r="AO15" s="491"/>
      <c r="AP15" s="491"/>
      <c r="AQ15" s="491"/>
      <c r="AR15" s="492"/>
    </row>
    <row r="16" spans="3:44" ht="18" customHeight="1">
      <c r="C16" s="758"/>
      <c r="D16" s="759"/>
      <c r="E16" s="760"/>
      <c r="F16" s="796"/>
      <c r="G16" s="797"/>
      <c r="H16" s="797"/>
      <c r="I16" s="797"/>
      <c r="J16" s="797"/>
      <c r="K16" s="797"/>
      <c r="L16" s="797"/>
      <c r="M16" s="797"/>
      <c r="N16" s="797"/>
      <c r="O16" s="797"/>
      <c r="P16" s="797"/>
      <c r="Q16" s="797"/>
      <c r="R16" s="797"/>
      <c r="S16" s="797"/>
      <c r="T16" s="797"/>
      <c r="U16" s="798"/>
      <c r="V16" s="466"/>
      <c r="W16" s="467"/>
      <c r="X16" s="468"/>
      <c r="Y16" s="466"/>
      <c r="Z16" s="467"/>
      <c r="AA16" s="467"/>
      <c r="AB16" s="468"/>
      <c r="AC16" s="828"/>
      <c r="AD16" s="829"/>
      <c r="AE16" s="829"/>
      <c r="AF16" s="830"/>
      <c r="AG16" s="466"/>
      <c r="AH16" s="467"/>
      <c r="AI16" s="467"/>
      <c r="AJ16" s="468"/>
      <c r="AK16" s="466"/>
      <c r="AL16" s="467"/>
      <c r="AM16" s="467"/>
      <c r="AN16" s="468"/>
      <c r="AO16" s="466"/>
      <c r="AP16" s="467"/>
      <c r="AQ16" s="467"/>
      <c r="AR16" s="823"/>
    </row>
    <row r="17" spans="3:44" ht="18" customHeight="1">
      <c r="C17" s="743"/>
      <c r="D17" s="744"/>
      <c r="E17" s="744"/>
      <c r="F17" s="744"/>
      <c r="G17" s="744"/>
      <c r="H17" s="744"/>
      <c r="I17" s="744"/>
      <c r="J17" s="744"/>
      <c r="K17" s="744"/>
      <c r="L17" s="744"/>
      <c r="M17" s="744"/>
      <c r="N17" s="744"/>
      <c r="O17" s="744"/>
      <c r="P17" s="744"/>
      <c r="Q17" s="744"/>
      <c r="R17" s="744"/>
      <c r="S17" s="744"/>
      <c r="T17" s="744"/>
      <c r="U17" s="744"/>
      <c r="V17" s="744"/>
      <c r="W17" s="744"/>
      <c r="X17" s="824"/>
      <c r="Y17" s="825" t="s">
        <v>74</v>
      </c>
      <c r="Z17" s="826"/>
      <c r="AA17" s="826"/>
      <c r="AB17" s="826"/>
      <c r="AC17" s="826"/>
      <c r="AD17" s="826"/>
      <c r="AE17" s="826"/>
      <c r="AF17" s="826"/>
      <c r="AG17" s="826"/>
      <c r="AH17" s="826"/>
      <c r="AI17" s="826"/>
      <c r="AJ17" s="826"/>
      <c r="AK17" s="826"/>
      <c r="AL17" s="826"/>
      <c r="AM17" s="826"/>
      <c r="AN17" s="827"/>
      <c r="AO17" s="477">
        <f>SUM(AO9:AR16)</f>
        <v>0</v>
      </c>
      <c r="AP17" s="746"/>
      <c r="AQ17" s="746"/>
      <c r="AR17" s="747"/>
    </row>
    <row r="19" spans="3:44" ht="18" customHeight="1">
      <c r="C19" s="794" t="s">
        <v>43</v>
      </c>
      <c r="D19" s="774"/>
      <c r="E19" s="775"/>
      <c r="F19" s="773" t="s">
        <v>75</v>
      </c>
      <c r="G19" s="774"/>
      <c r="H19" s="774"/>
      <c r="I19" s="774"/>
      <c r="J19" s="774"/>
      <c r="K19" s="774"/>
      <c r="L19" s="774"/>
      <c r="M19" s="774"/>
      <c r="N19" s="774"/>
      <c r="O19" s="774"/>
      <c r="P19" s="774"/>
      <c r="Q19" s="774"/>
      <c r="R19" s="774"/>
      <c r="S19" s="774"/>
      <c r="T19" s="774"/>
      <c r="U19" s="774"/>
      <c r="V19" s="774"/>
      <c r="W19" s="774"/>
      <c r="X19" s="774"/>
      <c r="Y19" s="774"/>
      <c r="Z19" s="774"/>
      <c r="AA19" s="774"/>
      <c r="AB19" s="775"/>
      <c r="AC19" s="773" t="s">
        <v>76</v>
      </c>
      <c r="AD19" s="774"/>
      <c r="AE19" s="774"/>
      <c r="AF19" s="775"/>
      <c r="AG19" s="773" t="s">
        <v>249</v>
      </c>
      <c r="AH19" s="774"/>
      <c r="AI19" s="774"/>
      <c r="AJ19" s="775"/>
      <c r="AK19" s="773" t="s">
        <v>77</v>
      </c>
      <c r="AL19" s="774"/>
      <c r="AM19" s="774"/>
      <c r="AN19" s="775"/>
      <c r="AO19" s="773" t="s">
        <v>71</v>
      </c>
      <c r="AP19" s="774"/>
      <c r="AQ19" s="774"/>
      <c r="AR19" s="779"/>
    </row>
    <row r="20" spans="3:44" ht="18" customHeight="1">
      <c r="C20" s="795"/>
      <c r="D20" s="777"/>
      <c r="E20" s="778"/>
      <c r="F20" s="776"/>
      <c r="G20" s="777"/>
      <c r="H20" s="777"/>
      <c r="I20" s="777"/>
      <c r="J20" s="777"/>
      <c r="K20" s="777"/>
      <c r="L20" s="777"/>
      <c r="M20" s="777"/>
      <c r="N20" s="777"/>
      <c r="O20" s="777"/>
      <c r="P20" s="777"/>
      <c r="Q20" s="777"/>
      <c r="R20" s="777"/>
      <c r="S20" s="777"/>
      <c r="T20" s="777"/>
      <c r="U20" s="777"/>
      <c r="V20" s="777"/>
      <c r="W20" s="777"/>
      <c r="X20" s="777"/>
      <c r="Y20" s="777"/>
      <c r="Z20" s="777"/>
      <c r="AA20" s="777"/>
      <c r="AB20" s="778"/>
      <c r="AC20" s="776"/>
      <c r="AD20" s="777"/>
      <c r="AE20" s="777"/>
      <c r="AF20" s="778"/>
      <c r="AG20" s="776"/>
      <c r="AH20" s="777"/>
      <c r="AI20" s="777"/>
      <c r="AJ20" s="778"/>
      <c r="AK20" s="776"/>
      <c r="AL20" s="777"/>
      <c r="AM20" s="777"/>
      <c r="AN20" s="778"/>
      <c r="AO20" s="776"/>
      <c r="AP20" s="777"/>
      <c r="AQ20" s="777"/>
      <c r="AR20" s="780"/>
    </row>
    <row r="21" spans="3:44" ht="18" customHeight="1">
      <c r="C21" s="781" t="s">
        <v>940</v>
      </c>
      <c r="D21" s="782"/>
      <c r="E21" s="783"/>
      <c r="F21" s="493" t="s">
        <v>105</v>
      </c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770"/>
      <c r="AD21" s="771"/>
      <c r="AE21" s="771"/>
      <c r="AF21" s="790"/>
      <c r="AG21" s="770">
        <v>0.2</v>
      </c>
      <c r="AH21" s="771"/>
      <c r="AI21" s="771"/>
      <c r="AJ21" s="790"/>
      <c r="AK21" s="449">
        <f>VLOOKUP(C21,[4]MÃODEOBRA!A$1:D$65536,4,FALSE)</f>
        <v>22.98488</v>
      </c>
      <c r="AL21" s="449"/>
      <c r="AM21" s="449"/>
      <c r="AN21" s="449"/>
      <c r="AO21" s="491">
        <f>ROUND(AG21*AK21,2)</f>
        <v>4.5999999999999996</v>
      </c>
      <c r="AP21" s="491"/>
      <c r="AQ21" s="491"/>
      <c r="AR21" s="492"/>
    </row>
    <row r="22" spans="3:44" ht="18" customHeight="1">
      <c r="C22" s="758" t="s">
        <v>1383</v>
      </c>
      <c r="D22" s="759"/>
      <c r="E22" s="760"/>
      <c r="F22" s="796" t="s">
        <v>123</v>
      </c>
      <c r="G22" s="797"/>
      <c r="H22" s="797"/>
      <c r="I22" s="797"/>
      <c r="J22" s="797"/>
      <c r="K22" s="797"/>
      <c r="L22" s="797"/>
      <c r="M22" s="797"/>
      <c r="N22" s="797"/>
      <c r="O22" s="797"/>
      <c r="P22" s="797"/>
      <c r="Q22" s="797"/>
      <c r="R22" s="797"/>
      <c r="S22" s="797"/>
      <c r="T22" s="797"/>
      <c r="U22" s="797"/>
      <c r="V22" s="797"/>
      <c r="W22" s="797"/>
      <c r="X22" s="797"/>
      <c r="Y22" s="797"/>
      <c r="Z22" s="797"/>
      <c r="AA22" s="797"/>
      <c r="AB22" s="798"/>
      <c r="AC22" s="740"/>
      <c r="AD22" s="741"/>
      <c r="AE22" s="741"/>
      <c r="AF22" s="757"/>
      <c r="AG22" s="740">
        <v>0.2</v>
      </c>
      <c r="AH22" s="741"/>
      <c r="AI22" s="741"/>
      <c r="AJ22" s="757"/>
      <c r="AK22" s="449">
        <f>VLOOKUP(C22,[4]MÃODEOBRA!A$1:D$65536,4,FALSE)</f>
        <v>11.156079999999999</v>
      </c>
      <c r="AL22" s="449"/>
      <c r="AM22" s="449"/>
      <c r="AN22" s="449"/>
      <c r="AO22" s="491">
        <f>ROUND(AG22*AK22,2)</f>
        <v>2.23</v>
      </c>
      <c r="AP22" s="491"/>
      <c r="AQ22" s="491"/>
      <c r="AR22" s="492"/>
    </row>
    <row r="23" spans="3:44" ht="18" customHeight="1">
      <c r="C23" s="758" t="s">
        <v>1375</v>
      </c>
      <c r="D23" s="759"/>
      <c r="E23" s="760"/>
      <c r="F23" s="796" t="s">
        <v>106</v>
      </c>
      <c r="G23" s="797"/>
      <c r="H23" s="797"/>
      <c r="I23" s="797"/>
      <c r="J23" s="797"/>
      <c r="K23" s="797"/>
      <c r="L23" s="797"/>
      <c r="M23" s="797"/>
      <c r="N23" s="797"/>
      <c r="O23" s="797"/>
      <c r="P23" s="797"/>
      <c r="Q23" s="797"/>
      <c r="R23" s="797"/>
      <c r="S23" s="797"/>
      <c r="T23" s="797"/>
      <c r="U23" s="797"/>
      <c r="V23" s="797"/>
      <c r="W23" s="797"/>
      <c r="X23" s="797"/>
      <c r="Y23" s="797"/>
      <c r="Z23" s="797"/>
      <c r="AA23" s="797"/>
      <c r="AB23" s="798"/>
      <c r="AC23" s="740"/>
      <c r="AD23" s="741"/>
      <c r="AE23" s="741"/>
      <c r="AF23" s="757"/>
      <c r="AG23" s="740">
        <v>3</v>
      </c>
      <c r="AH23" s="741"/>
      <c r="AI23" s="741"/>
      <c r="AJ23" s="757"/>
      <c r="AK23" s="449">
        <f>VLOOKUP(C23,[4]MÃODEOBRA!A$1:D$65536,4,FALSE)</f>
        <v>7.90456</v>
      </c>
      <c r="AL23" s="449"/>
      <c r="AM23" s="449"/>
      <c r="AN23" s="449"/>
      <c r="AO23" s="491">
        <f>ROUND(AG23*AK23,2)</f>
        <v>23.71</v>
      </c>
      <c r="AP23" s="491"/>
      <c r="AQ23" s="491"/>
      <c r="AR23" s="492"/>
    </row>
    <row r="24" spans="3:44" ht="18" customHeight="1">
      <c r="C24" s="758"/>
      <c r="D24" s="759"/>
      <c r="E24" s="760"/>
      <c r="F24" s="796"/>
      <c r="G24" s="797"/>
      <c r="H24" s="797"/>
      <c r="I24" s="797"/>
      <c r="J24" s="797"/>
      <c r="K24" s="797"/>
      <c r="L24" s="797"/>
      <c r="M24" s="797"/>
      <c r="N24" s="797"/>
      <c r="O24" s="797"/>
      <c r="P24" s="797"/>
      <c r="Q24" s="797"/>
      <c r="R24" s="797"/>
      <c r="S24" s="797"/>
      <c r="T24" s="797"/>
      <c r="U24" s="797"/>
      <c r="V24" s="797"/>
      <c r="W24" s="797"/>
      <c r="X24" s="797"/>
      <c r="Y24" s="797"/>
      <c r="Z24" s="797"/>
      <c r="AA24" s="797"/>
      <c r="AB24" s="798"/>
      <c r="AC24" s="740"/>
      <c r="AD24" s="741"/>
      <c r="AE24" s="741"/>
      <c r="AF24" s="757"/>
      <c r="AG24" s="740"/>
      <c r="AH24" s="741"/>
      <c r="AI24" s="741"/>
      <c r="AJ24" s="757"/>
      <c r="AK24" s="740"/>
      <c r="AL24" s="741"/>
      <c r="AM24" s="741"/>
      <c r="AN24" s="757"/>
      <c r="AO24" s="466"/>
      <c r="AP24" s="467"/>
      <c r="AQ24" s="467"/>
      <c r="AR24" s="823"/>
    </row>
    <row r="25" spans="3:44" ht="18" customHeight="1">
      <c r="C25" s="34"/>
      <c r="D25" s="35"/>
      <c r="E25" s="36"/>
      <c r="F25" s="37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9"/>
      <c r="AC25" s="40"/>
      <c r="AD25" s="41"/>
      <c r="AE25" s="41"/>
      <c r="AF25" s="46"/>
      <c r="AG25" s="40"/>
      <c r="AH25" s="41"/>
      <c r="AI25" s="41"/>
      <c r="AJ25" s="46"/>
      <c r="AK25" s="40"/>
      <c r="AL25" s="41"/>
      <c r="AM25" s="41"/>
      <c r="AN25" s="46"/>
      <c r="AO25" s="42"/>
      <c r="AP25" s="43"/>
      <c r="AQ25" s="43"/>
      <c r="AR25" s="45"/>
    </row>
    <row r="26" spans="3:44" ht="18" customHeight="1">
      <c r="C26" s="758"/>
      <c r="D26" s="759"/>
      <c r="E26" s="760"/>
      <c r="F26" s="796"/>
      <c r="G26" s="797"/>
      <c r="H26" s="797"/>
      <c r="I26" s="797"/>
      <c r="J26" s="797"/>
      <c r="K26" s="797"/>
      <c r="L26" s="797"/>
      <c r="M26" s="797"/>
      <c r="N26" s="797"/>
      <c r="O26" s="797"/>
      <c r="P26" s="797"/>
      <c r="Q26" s="797"/>
      <c r="R26" s="797"/>
      <c r="S26" s="797"/>
      <c r="T26" s="797"/>
      <c r="U26" s="797"/>
      <c r="V26" s="797"/>
      <c r="W26" s="797"/>
      <c r="X26" s="797"/>
      <c r="Y26" s="797"/>
      <c r="Z26" s="797"/>
      <c r="AA26" s="797"/>
      <c r="AB26" s="798"/>
      <c r="AC26" s="740"/>
      <c r="AD26" s="741"/>
      <c r="AE26" s="741"/>
      <c r="AF26" s="757"/>
      <c r="AG26" s="740"/>
      <c r="AH26" s="741"/>
      <c r="AI26" s="741"/>
      <c r="AJ26" s="757"/>
      <c r="AK26" s="740"/>
      <c r="AL26" s="741"/>
      <c r="AM26" s="741"/>
      <c r="AN26" s="757"/>
      <c r="AO26" s="466"/>
      <c r="AP26" s="467"/>
      <c r="AQ26" s="467"/>
      <c r="AR26" s="823"/>
    </row>
    <row r="27" spans="3:44" ht="18" customHeight="1">
      <c r="C27" s="758"/>
      <c r="D27" s="759"/>
      <c r="E27" s="760"/>
      <c r="F27" s="796"/>
      <c r="G27" s="797"/>
      <c r="H27" s="797"/>
      <c r="I27" s="797"/>
      <c r="J27" s="797"/>
      <c r="K27" s="797"/>
      <c r="L27" s="797"/>
      <c r="M27" s="797"/>
      <c r="N27" s="797"/>
      <c r="O27" s="797"/>
      <c r="P27" s="797"/>
      <c r="Q27" s="797"/>
      <c r="R27" s="797"/>
      <c r="S27" s="797"/>
      <c r="T27" s="797"/>
      <c r="U27" s="797"/>
      <c r="V27" s="797"/>
      <c r="W27" s="797"/>
      <c r="X27" s="797"/>
      <c r="Y27" s="797"/>
      <c r="Z27" s="797"/>
      <c r="AA27" s="797"/>
      <c r="AB27" s="798"/>
      <c r="AC27" s="740"/>
      <c r="AD27" s="741"/>
      <c r="AE27" s="741"/>
      <c r="AF27" s="757"/>
      <c r="AG27" s="740"/>
      <c r="AH27" s="741"/>
      <c r="AI27" s="741"/>
      <c r="AJ27" s="757"/>
      <c r="AK27" s="740"/>
      <c r="AL27" s="741"/>
      <c r="AM27" s="741"/>
      <c r="AN27" s="757"/>
      <c r="AO27" s="466"/>
      <c r="AP27" s="467"/>
      <c r="AQ27" s="467"/>
      <c r="AR27" s="823"/>
    </row>
    <row r="28" spans="3:44" ht="18" customHeight="1">
      <c r="C28" s="758"/>
      <c r="D28" s="759"/>
      <c r="E28" s="760"/>
      <c r="F28" s="796"/>
      <c r="G28" s="797"/>
      <c r="H28" s="797"/>
      <c r="I28" s="797"/>
      <c r="J28" s="797"/>
      <c r="K28" s="797"/>
      <c r="L28" s="797"/>
      <c r="M28" s="797"/>
      <c r="N28" s="797"/>
      <c r="O28" s="797"/>
      <c r="P28" s="797"/>
      <c r="Q28" s="797"/>
      <c r="R28" s="797"/>
      <c r="S28" s="797"/>
      <c r="T28" s="797"/>
      <c r="U28" s="797"/>
      <c r="V28" s="797"/>
      <c r="W28" s="797"/>
      <c r="X28" s="797"/>
      <c r="Y28" s="797"/>
      <c r="Z28" s="797"/>
      <c r="AA28" s="797"/>
      <c r="AB28" s="798"/>
      <c r="AC28" s="740"/>
      <c r="AD28" s="741"/>
      <c r="AE28" s="741"/>
      <c r="AF28" s="757"/>
      <c r="AG28" s="740"/>
      <c r="AH28" s="741"/>
      <c r="AI28" s="741"/>
      <c r="AJ28" s="757"/>
      <c r="AK28" s="740"/>
      <c r="AL28" s="741"/>
      <c r="AM28" s="741"/>
      <c r="AN28" s="757"/>
      <c r="AO28" s="466"/>
      <c r="AP28" s="467"/>
      <c r="AQ28" s="467"/>
      <c r="AR28" s="823"/>
    </row>
    <row r="29" spans="3:44" ht="18" customHeight="1">
      <c r="C29" s="814"/>
      <c r="D29" s="815"/>
      <c r="E29" s="815"/>
      <c r="F29" s="815"/>
      <c r="G29" s="815"/>
      <c r="H29" s="815"/>
      <c r="I29" s="815"/>
      <c r="J29" s="815"/>
      <c r="K29" s="815"/>
      <c r="L29" s="815"/>
      <c r="M29" s="815"/>
      <c r="N29" s="815"/>
      <c r="O29" s="815"/>
      <c r="P29" s="815"/>
      <c r="Q29" s="815"/>
      <c r="R29" s="815"/>
      <c r="S29" s="815"/>
      <c r="T29" s="815"/>
      <c r="U29" s="815"/>
      <c r="V29" s="815"/>
      <c r="W29" s="815"/>
      <c r="X29" s="815"/>
      <c r="Y29" s="816" t="s">
        <v>78</v>
      </c>
      <c r="Z29" s="816"/>
      <c r="AA29" s="816"/>
      <c r="AB29" s="816"/>
      <c r="AC29" s="816"/>
      <c r="AD29" s="816"/>
      <c r="AE29" s="816"/>
      <c r="AF29" s="483"/>
      <c r="AG29" s="817" t="s">
        <v>267</v>
      </c>
      <c r="AH29" s="818"/>
      <c r="AI29" s="818"/>
      <c r="AJ29" s="819"/>
      <c r="AK29" s="466">
        <f>SUM(AO21:AR28)</f>
        <v>30.54</v>
      </c>
      <c r="AL29" s="467"/>
      <c r="AM29" s="467"/>
      <c r="AN29" s="468"/>
      <c r="AO29" s="820">
        <f>ROUND(AG29*AK29,2)</f>
        <v>6.26</v>
      </c>
      <c r="AP29" s="821"/>
      <c r="AQ29" s="821"/>
      <c r="AR29" s="822"/>
    </row>
    <row r="30" spans="3:44" ht="18" customHeight="1">
      <c r="C30" s="743"/>
      <c r="D30" s="744"/>
      <c r="E30" s="744"/>
      <c r="F30" s="744"/>
      <c r="G30" s="744"/>
      <c r="H30" s="744"/>
      <c r="I30" s="744"/>
      <c r="J30" s="744"/>
      <c r="K30" s="744"/>
      <c r="L30" s="744"/>
      <c r="M30" s="744"/>
      <c r="N30" s="744"/>
      <c r="O30" s="744"/>
      <c r="P30" s="744"/>
      <c r="Q30" s="744"/>
      <c r="R30" s="744"/>
      <c r="S30" s="744"/>
      <c r="T30" s="744"/>
      <c r="U30" s="744"/>
      <c r="V30" s="744"/>
      <c r="W30" s="744"/>
      <c r="X30" s="744"/>
      <c r="Y30" s="745" t="s">
        <v>79</v>
      </c>
      <c r="Z30" s="745"/>
      <c r="AA30" s="745"/>
      <c r="AB30" s="745"/>
      <c r="AC30" s="745"/>
      <c r="AD30" s="745"/>
      <c r="AE30" s="745"/>
      <c r="AF30" s="745"/>
      <c r="AG30" s="745"/>
      <c r="AH30" s="745"/>
      <c r="AI30" s="745"/>
      <c r="AJ30" s="745"/>
      <c r="AK30" s="745"/>
      <c r="AL30" s="745"/>
      <c r="AM30" s="745"/>
      <c r="AN30" s="430"/>
      <c r="AO30" s="477">
        <f>SUM(AO21:AR29)</f>
        <v>36.799999999999997</v>
      </c>
      <c r="AP30" s="746"/>
      <c r="AQ30" s="746"/>
      <c r="AR30" s="747"/>
    </row>
    <row r="32" spans="3:44" ht="18" customHeight="1">
      <c r="C32" s="802"/>
      <c r="D32" s="803"/>
      <c r="E32" s="803"/>
      <c r="F32" s="803"/>
      <c r="G32" s="803"/>
      <c r="H32" s="803"/>
      <c r="I32" s="803"/>
      <c r="J32" s="803"/>
      <c r="K32" s="803"/>
      <c r="L32" s="803"/>
      <c r="M32" s="803"/>
      <c r="N32" s="803"/>
      <c r="O32" s="803"/>
      <c r="P32" s="803"/>
      <c r="Q32" s="803"/>
      <c r="R32" s="803"/>
      <c r="S32" s="803"/>
      <c r="T32" s="803"/>
      <c r="U32" s="803"/>
      <c r="V32" s="803"/>
      <c r="W32" s="803"/>
      <c r="X32" s="803"/>
      <c r="Y32" s="804" t="s">
        <v>80</v>
      </c>
      <c r="Z32" s="805"/>
      <c r="AA32" s="805"/>
      <c r="AB32" s="805"/>
      <c r="AC32" s="805"/>
      <c r="AD32" s="805"/>
      <c r="AE32" s="805"/>
      <c r="AF32" s="805"/>
      <c r="AG32" s="805"/>
      <c r="AH32" s="805"/>
      <c r="AI32" s="805"/>
      <c r="AJ32" s="805"/>
      <c r="AK32" s="805"/>
      <c r="AL32" s="805"/>
      <c r="AM32" s="805"/>
      <c r="AN32" s="806"/>
      <c r="AO32" s="807">
        <f>AO17+AO30</f>
        <v>36.799999999999997</v>
      </c>
      <c r="AP32" s="808"/>
      <c r="AQ32" s="808"/>
      <c r="AR32" s="809"/>
    </row>
    <row r="33" spans="3:44" ht="18" customHeight="1">
      <c r="C33" s="810" t="s">
        <v>81</v>
      </c>
      <c r="D33" s="745"/>
      <c r="E33" s="745"/>
      <c r="F33" s="745"/>
      <c r="G33" s="745"/>
      <c r="H33" s="745"/>
      <c r="I33" s="745"/>
      <c r="J33" s="745"/>
      <c r="K33" s="745"/>
      <c r="L33" s="745"/>
      <c r="M33" s="745"/>
      <c r="N33" s="745"/>
      <c r="O33" s="745"/>
      <c r="P33" s="430"/>
      <c r="Q33" s="477">
        <v>6</v>
      </c>
      <c r="R33" s="746"/>
      <c r="S33" s="746"/>
      <c r="T33" s="746"/>
      <c r="U33" s="746"/>
      <c r="V33" s="745" t="s">
        <v>189</v>
      </c>
      <c r="W33" s="745"/>
      <c r="X33" s="430"/>
      <c r="Y33" s="804" t="s">
        <v>82</v>
      </c>
      <c r="Z33" s="805"/>
      <c r="AA33" s="805"/>
      <c r="AB33" s="805"/>
      <c r="AC33" s="805"/>
      <c r="AD33" s="805"/>
      <c r="AE33" s="805"/>
      <c r="AF33" s="805"/>
      <c r="AG33" s="805"/>
      <c r="AH33" s="805"/>
      <c r="AI33" s="805"/>
      <c r="AJ33" s="805"/>
      <c r="AK33" s="805"/>
      <c r="AL33" s="805"/>
      <c r="AM33" s="805"/>
      <c r="AN33" s="806"/>
      <c r="AO33" s="811">
        <f>ROUND(AO32/Q33,2)</f>
        <v>6.13</v>
      </c>
      <c r="AP33" s="812"/>
      <c r="AQ33" s="812"/>
      <c r="AR33" s="813"/>
    </row>
    <row r="35" spans="3:44" ht="18" customHeight="1">
      <c r="C35" s="794" t="s">
        <v>43</v>
      </c>
      <c r="D35" s="774"/>
      <c r="E35" s="775"/>
      <c r="F35" s="773" t="s">
        <v>83</v>
      </c>
      <c r="G35" s="774"/>
      <c r="H35" s="774"/>
      <c r="I35" s="774"/>
      <c r="J35" s="774"/>
      <c r="K35" s="774"/>
      <c r="L35" s="774"/>
      <c r="M35" s="774"/>
      <c r="N35" s="774"/>
      <c r="O35" s="774"/>
      <c r="P35" s="774"/>
      <c r="Q35" s="774"/>
      <c r="R35" s="774"/>
      <c r="S35" s="774"/>
      <c r="T35" s="774"/>
      <c r="U35" s="774"/>
      <c r="V35" s="774"/>
      <c r="W35" s="774"/>
      <c r="X35" s="774"/>
      <c r="Y35" s="774"/>
      <c r="Z35" s="774"/>
      <c r="AA35" s="774"/>
      <c r="AB35" s="775"/>
      <c r="AC35" s="773" t="s">
        <v>84</v>
      </c>
      <c r="AD35" s="774"/>
      <c r="AE35" s="774"/>
      <c r="AF35" s="775"/>
      <c r="AG35" s="773" t="s">
        <v>85</v>
      </c>
      <c r="AH35" s="774"/>
      <c r="AI35" s="774"/>
      <c r="AJ35" s="775"/>
      <c r="AK35" s="773" t="s">
        <v>86</v>
      </c>
      <c r="AL35" s="774"/>
      <c r="AM35" s="774"/>
      <c r="AN35" s="775"/>
      <c r="AO35" s="773" t="s">
        <v>87</v>
      </c>
      <c r="AP35" s="774"/>
      <c r="AQ35" s="774"/>
      <c r="AR35" s="779"/>
    </row>
    <row r="36" spans="3:44" ht="18" customHeight="1">
      <c r="C36" s="795"/>
      <c r="D36" s="777"/>
      <c r="E36" s="778"/>
      <c r="F36" s="776"/>
      <c r="G36" s="777"/>
      <c r="H36" s="777"/>
      <c r="I36" s="777"/>
      <c r="J36" s="777"/>
      <c r="K36" s="777"/>
      <c r="L36" s="777"/>
      <c r="M36" s="777"/>
      <c r="N36" s="777"/>
      <c r="O36" s="777"/>
      <c r="P36" s="777"/>
      <c r="Q36" s="777"/>
      <c r="R36" s="777"/>
      <c r="S36" s="777"/>
      <c r="T36" s="777"/>
      <c r="U36" s="777"/>
      <c r="V36" s="777"/>
      <c r="W36" s="777"/>
      <c r="X36" s="777"/>
      <c r="Y36" s="777"/>
      <c r="Z36" s="777"/>
      <c r="AA36" s="777"/>
      <c r="AB36" s="778"/>
      <c r="AC36" s="776"/>
      <c r="AD36" s="777"/>
      <c r="AE36" s="777"/>
      <c r="AF36" s="778"/>
      <c r="AG36" s="776"/>
      <c r="AH36" s="777"/>
      <c r="AI36" s="777"/>
      <c r="AJ36" s="778"/>
      <c r="AK36" s="776"/>
      <c r="AL36" s="777"/>
      <c r="AM36" s="777"/>
      <c r="AN36" s="778"/>
      <c r="AO36" s="776"/>
      <c r="AP36" s="777"/>
      <c r="AQ36" s="777"/>
      <c r="AR36" s="780"/>
    </row>
    <row r="37" spans="3:44" ht="18" customHeight="1">
      <c r="C37" s="758"/>
      <c r="D37" s="759"/>
      <c r="E37" s="760"/>
      <c r="F37" s="796"/>
      <c r="G37" s="797"/>
      <c r="H37" s="797"/>
      <c r="I37" s="797"/>
      <c r="J37" s="797"/>
      <c r="K37" s="797"/>
      <c r="L37" s="797"/>
      <c r="M37" s="797"/>
      <c r="N37" s="797"/>
      <c r="O37" s="797"/>
      <c r="P37" s="797"/>
      <c r="Q37" s="797"/>
      <c r="R37" s="797"/>
      <c r="S37" s="797"/>
      <c r="T37" s="797"/>
      <c r="U37" s="797"/>
      <c r="V37" s="797"/>
      <c r="W37" s="797"/>
      <c r="X37" s="797"/>
      <c r="Y37" s="797"/>
      <c r="Z37" s="797"/>
      <c r="AA37" s="797"/>
      <c r="AB37" s="798"/>
      <c r="AC37" s="799"/>
      <c r="AD37" s="800"/>
      <c r="AE37" s="800"/>
      <c r="AF37" s="801"/>
      <c r="AG37" s="466"/>
      <c r="AH37" s="467"/>
      <c r="AI37" s="467"/>
      <c r="AJ37" s="468"/>
      <c r="AK37" s="737"/>
      <c r="AL37" s="738"/>
      <c r="AM37" s="738"/>
      <c r="AN37" s="739"/>
      <c r="AO37" s="740"/>
      <c r="AP37" s="741"/>
      <c r="AQ37" s="741"/>
      <c r="AR37" s="742"/>
    </row>
    <row r="38" spans="3:44" ht="18" customHeight="1">
      <c r="C38" s="758"/>
      <c r="D38" s="759"/>
      <c r="E38" s="760"/>
      <c r="F38" s="796"/>
      <c r="G38" s="797"/>
      <c r="H38" s="797"/>
      <c r="I38" s="797"/>
      <c r="J38" s="797"/>
      <c r="K38" s="797"/>
      <c r="L38" s="797"/>
      <c r="M38" s="797"/>
      <c r="N38" s="797"/>
      <c r="O38" s="797"/>
      <c r="P38" s="797"/>
      <c r="Q38" s="797"/>
      <c r="R38" s="797"/>
      <c r="S38" s="797"/>
      <c r="T38" s="797"/>
      <c r="U38" s="797"/>
      <c r="V38" s="797"/>
      <c r="W38" s="797"/>
      <c r="X38" s="797"/>
      <c r="Y38" s="797"/>
      <c r="Z38" s="797"/>
      <c r="AA38" s="797"/>
      <c r="AB38" s="798"/>
      <c r="AC38" s="799"/>
      <c r="AD38" s="800"/>
      <c r="AE38" s="800"/>
      <c r="AF38" s="801"/>
      <c r="AG38" s="466"/>
      <c r="AH38" s="467"/>
      <c r="AI38" s="467"/>
      <c r="AJ38" s="468"/>
      <c r="AK38" s="737"/>
      <c r="AL38" s="738"/>
      <c r="AM38" s="738"/>
      <c r="AN38" s="739"/>
      <c r="AO38" s="740"/>
      <c r="AP38" s="741"/>
      <c r="AQ38" s="741"/>
      <c r="AR38" s="742"/>
    </row>
    <row r="39" spans="3:44" ht="18" customHeight="1">
      <c r="C39" s="758"/>
      <c r="D39" s="759"/>
      <c r="E39" s="760"/>
      <c r="F39" s="796"/>
      <c r="G39" s="797"/>
      <c r="H39" s="797"/>
      <c r="I39" s="797"/>
      <c r="J39" s="797"/>
      <c r="K39" s="797"/>
      <c r="L39" s="797"/>
      <c r="M39" s="797"/>
      <c r="N39" s="797"/>
      <c r="O39" s="797"/>
      <c r="P39" s="797"/>
      <c r="Q39" s="797"/>
      <c r="R39" s="797"/>
      <c r="S39" s="797"/>
      <c r="T39" s="797"/>
      <c r="U39" s="797"/>
      <c r="V39" s="797"/>
      <c r="W39" s="797"/>
      <c r="X39" s="797"/>
      <c r="Y39" s="797"/>
      <c r="Z39" s="797"/>
      <c r="AA39" s="797"/>
      <c r="AB39" s="798"/>
      <c r="AC39" s="799"/>
      <c r="AD39" s="800"/>
      <c r="AE39" s="800"/>
      <c r="AF39" s="801"/>
      <c r="AG39" s="466"/>
      <c r="AH39" s="467"/>
      <c r="AI39" s="467"/>
      <c r="AJ39" s="468"/>
      <c r="AK39" s="737"/>
      <c r="AL39" s="738"/>
      <c r="AM39" s="738"/>
      <c r="AN39" s="739"/>
      <c r="AO39" s="740"/>
      <c r="AP39" s="741"/>
      <c r="AQ39" s="741"/>
      <c r="AR39" s="742"/>
    </row>
    <row r="40" spans="3:44" ht="18" customHeight="1">
      <c r="C40" s="758"/>
      <c r="D40" s="759"/>
      <c r="E40" s="760"/>
      <c r="F40" s="796"/>
      <c r="G40" s="797"/>
      <c r="H40" s="797"/>
      <c r="I40" s="797"/>
      <c r="J40" s="797"/>
      <c r="K40" s="797"/>
      <c r="L40" s="797"/>
      <c r="M40" s="797"/>
      <c r="N40" s="797"/>
      <c r="O40" s="797"/>
      <c r="P40" s="797"/>
      <c r="Q40" s="797"/>
      <c r="R40" s="797"/>
      <c r="S40" s="797"/>
      <c r="T40" s="797"/>
      <c r="U40" s="797"/>
      <c r="V40" s="797"/>
      <c r="W40" s="797"/>
      <c r="X40" s="797"/>
      <c r="Y40" s="797"/>
      <c r="Z40" s="797"/>
      <c r="AA40" s="797"/>
      <c r="AB40" s="798"/>
      <c r="AC40" s="799"/>
      <c r="AD40" s="800"/>
      <c r="AE40" s="800"/>
      <c r="AF40" s="801"/>
      <c r="AG40" s="466"/>
      <c r="AH40" s="467"/>
      <c r="AI40" s="467"/>
      <c r="AJ40" s="468"/>
      <c r="AK40" s="737"/>
      <c r="AL40" s="738"/>
      <c r="AM40" s="738"/>
      <c r="AN40" s="739"/>
      <c r="AO40" s="740"/>
      <c r="AP40" s="741"/>
      <c r="AQ40" s="741"/>
      <c r="AR40" s="742"/>
    </row>
    <row r="41" spans="3:44" ht="18" customHeight="1">
      <c r="C41" s="34"/>
      <c r="D41" s="35"/>
      <c r="E41" s="36"/>
      <c r="F41" s="796"/>
      <c r="G41" s="797"/>
      <c r="H41" s="797"/>
      <c r="I41" s="797"/>
      <c r="J41" s="797"/>
      <c r="K41" s="797"/>
      <c r="L41" s="797"/>
      <c r="M41" s="797"/>
      <c r="N41" s="797"/>
      <c r="O41" s="797"/>
      <c r="P41" s="797"/>
      <c r="Q41" s="797"/>
      <c r="R41" s="797"/>
      <c r="S41" s="797"/>
      <c r="T41" s="797"/>
      <c r="U41" s="797"/>
      <c r="V41" s="797"/>
      <c r="W41" s="797"/>
      <c r="X41" s="797"/>
      <c r="Y41" s="797"/>
      <c r="Z41" s="797"/>
      <c r="AA41" s="797"/>
      <c r="AB41" s="798"/>
      <c r="AC41" s="799"/>
      <c r="AD41" s="800"/>
      <c r="AE41" s="800"/>
      <c r="AF41" s="801"/>
      <c r="AG41" s="466"/>
      <c r="AH41" s="467"/>
      <c r="AI41" s="467"/>
      <c r="AJ41" s="468"/>
      <c r="AK41" s="737"/>
      <c r="AL41" s="738"/>
      <c r="AM41" s="738"/>
      <c r="AN41" s="739"/>
      <c r="AO41" s="740"/>
      <c r="AP41" s="741"/>
      <c r="AQ41" s="741"/>
      <c r="AR41" s="742"/>
    </row>
    <row r="42" spans="3:44" ht="18" customHeight="1">
      <c r="C42" s="34"/>
      <c r="D42" s="35"/>
      <c r="E42" s="36"/>
      <c r="F42" s="37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9"/>
      <c r="AC42" s="799"/>
      <c r="AD42" s="800"/>
      <c r="AE42" s="800"/>
      <c r="AF42" s="801"/>
      <c r="AG42" s="466"/>
      <c r="AH42" s="467"/>
      <c r="AI42" s="467"/>
      <c r="AJ42" s="468"/>
      <c r="AK42" s="737"/>
      <c r="AL42" s="738"/>
      <c r="AM42" s="738"/>
      <c r="AN42" s="739"/>
      <c r="AO42" s="740"/>
      <c r="AP42" s="741"/>
      <c r="AQ42" s="741"/>
      <c r="AR42" s="742"/>
    </row>
    <row r="43" spans="3:44" ht="18" customHeight="1">
      <c r="C43" s="758"/>
      <c r="D43" s="759"/>
      <c r="E43" s="760"/>
      <c r="F43" s="796"/>
      <c r="G43" s="797"/>
      <c r="H43" s="797"/>
      <c r="I43" s="797"/>
      <c r="J43" s="797"/>
      <c r="K43" s="797"/>
      <c r="L43" s="797"/>
      <c r="M43" s="797"/>
      <c r="N43" s="797"/>
      <c r="O43" s="797"/>
      <c r="P43" s="797"/>
      <c r="Q43" s="797"/>
      <c r="R43" s="797"/>
      <c r="S43" s="797"/>
      <c r="T43" s="797"/>
      <c r="U43" s="797"/>
      <c r="V43" s="797"/>
      <c r="W43" s="797"/>
      <c r="X43" s="797"/>
      <c r="Y43" s="797"/>
      <c r="Z43" s="797"/>
      <c r="AA43" s="797"/>
      <c r="AB43" s="798"/>
      <c r="AC43" s="799"/>
      <c r="AD43" s="800"/>
      <c r="AE43" s="800"/>
      <c r="AF43" s="801"/>
      <c r="AG43" s="466"/>
      <c r="AH43" s="467"/>
      <c r="AI43" s="467"/>
      <c r="AJ43" s="468"/>
      <c r="AK43" s="737"/>
      <c r="AL43" s="738"/>
      <c r="AM43" s="738"/>
      <c r="AN43" s="739"/>
      <c r="AO43" s="740"/>
      <c r="AP43" s="741"/>
      <c r="AQ43" s="741"/>
      <c r="AR43" s="742"/>
    </row>
    <row r="44" spans="3:44" ht="18" customHeight="1">
      <c r="C44" s="758"/>
      <c r="D44" s="759"/>
      <c r="E44" s="760"/>
      <c r="F44" s="796"/>
      <c r="G44" s="797"/>
      <c r="H44" s="797"/>
      <c r="I44" s="797"/>
      <c r="J44" s="797"/>
      <c r="K44" s="797"/>
      <c r="L44" s="797"/>
      <c r="M44" s="797"/>
      <c r="N44" s="797"/>
      <c r="O44" s="797"/>
      <c r="P44" s="797"/>
      <c r="Q44" s="797"/>
      <c r="R44" s="797"/>
      <c r="S44" s="797"/>
      <c r="T44" s="797"/>
      <c r="U44" s="797"/>
      <c r="V44" s="797"/>
      <c r="W44" s="797"/>
      <c r="X44" s="797"/>
      <c r="Y44" s="797"/>
      <c r="Z44" s="797"/>
      <c r="AA44" s="797"/>
      <c r="AB44" s="798"/>
      <c r="AC44" s="799"/>
      <c r="AD44" s="800"/>
      <c r="AE44" s="800"/>
      <c r="AF44" s="801"/>
      <c r="AG44" s="466"/>
      <c r="AH44" s="467"/>
      <c r="AI44" s="467"/>
      <c r="AJ44" s="468"/>
      <c r="AK44" s="737"/>
      <c r="AL44" s="738"/>
      <c r="AM44" s="738"/>
      <c r="AN44" s="739"/>
      <c r="AO44" s="740"/>
      <c r="AP44" s="741"/>
      <c r="AQ44" s="741"/>
      <c r="AR44" s="742"/>
    </row>
    <row r="45" spans="3:44" ht="18" customHeight="1">
      <c r="C45" s="758"/>
      <c r="D45" s="759"/>
      <c r="E45" s="760"/>
      <c r="F45" s="796"/>
      <c r="G45" s="797"/>
      <c r="H45" s="797"/>
      <c r="I45" s="797"/>
      <c r="J45" s="797"/>
      <c r="K45" s="797"/>
      <c r="L45" s="797"/>
      <c r="M45" s="797"/>
      <c r="N45" s="797"/>
      <c r="O45" s="797"/>
      <c r="P45" s="797"/>
      <c r="Q45" s="797"/>
      <c r="R45" s="797"/>
      <c r="S45" s="797"/>
      <c r="T45" s="797"/>
      <c r="U45" s="797"/>
      <c r="V45" s="797"/>
      <c r="W45" s="797"/>
      <c r="X45" s="797"/>
      <c r="Y45" s="797"/>
      <c r="Z45" s="797"/>
      <c r="AA45" s="797"/>
      <c r="AB45" s="798"/>
      <c r="AC45" s="799"/>
      <c r="AD45" s="800"/>
      <c r="AE45" s="800"/>
      <c r="AF45" s="801"/>
      <c r="AG45" s="466"/>
      <c r="AH45" s="467"/>
      <c r="AI45" s="467"/>
      <c r="AJ45" s="468"/>
      <c r="AK45" s="737"/>
      <c r="AL45" s="738"/>
      <c r="AM45" s="738"/>
      <c r="AN45" s="739"/>
      <c r="AO45" s="740"/>
      <c r="AP45" s="741"/>
      <c r="AQ45" s="741"/>
      <c r="AR45" s="742"/>
    </row>
    <row r="46" spans="3:44" ht="18" customHeight="1">
      <c r="C46" s="743"/>
      <c r="D46" s="744"/>
      <c r="E46" s="744"/>
      <c r="F46" s="744"/>
      <c r="G46" s="744"/>
      <c r="H46" s="744"/>
      <c r="I46" s="744"/>
      <c r="J46" s="744"/>
      <c r="K46" s="744"/>
      <c r="L46" s="744"/>
      <c r="M46" s="744"/>
      <c r="N46" s="744"/>
      <c r="O46" s="744"/>
      <c r="P46" s="744"/>
      <c r="Q46" s="744"/>
      <c r="R46" s="744"/>
      <c r="S46" s="744"/>
      <c r="T46" s="744"/>
      <c r="U46" s="744"/>
      <c r="V46" s="744"/>
      <c r="W46" s="744"/>
      <c r="X46" s="744"/>
      <c r="Y46" s="745" t="s">
        <v>88</v>
      </c>
      <c r="Z46" s="745"/>
      <c r="AA46" s="745"/>
      <c r="AB46" s="745"/>
      <c r="AC46" s="745"/>
      <c r="AD46" s="745"/>
      <c r="AE46" s="745"/>
      <c r="AF46" s="745"/>
      <c r="AG46" s="745"/>
      <c r="AH46" s="745"/>
      <c r="AI46" s="745"/>
      <c r="AJ46" s="745"/>
      <c r="AK46" s="745"/>
      <c r="AL46" s="745"/>
      <c r="AM46" s="745"/>
      <c r="AN46" s="430"/>
      <c r="AO46" s="477">
        <f>SUM(AO37:AR45)</f>
        <v>0</v>
      </c>
      <c r="AP46" s="746"/>
      <c r="AQ46" s="746"/>
      <c r="AR46" s="747"/>
    </row>
    <row r="48" spans="3:44" ht="18" customHeight="1">
      <c r="C48" s="794" t="s">
        <v>43</v>
      </c>
      <c r="D48" s="774"/>
      <c r="E48" s="775"/>
      <c r="F48" s="773" t="s">
        <v>89</v>
      </c>
      <c r="G48" s="774"/>
      <c r="H48" s="774"/>
      <c r="I48" s="774"/>
      <c r="J48" s="774"/>
      <c r="K48" s="774"/>
      <c r="L48" s="774"/>
      <c r="M48" s="774"/>
      <c r="N48" s="774"/>
      <c r="O48" s="774"/>
      <c r="P48" s="774"/>
      <c r="Q48" s="774"/>
      <c r="R48" s="775"/>
      <c r="S48" s="773" t="s">
        <v>90</v>
      </c>
      <c r="T48" s="774"/>
      <c r="U48" s="775"/>
      <c r="V48" s="773" t="s">
        <v>91</v>
      </c>
      <c r="W48" s="774"/>
      <c r="X48" s="775"/>
      <c r="Y48" s="773" t="s">
        <v>92</v>
      </c>
      <c r="Z48" s="774"/>
      <c r="AA48" s="774"/>
      <c r="AB48" s="774"/>
      <c r="AC48" s="774"/>
      <c r="AD48" s="775"/>
      <c r="AE48" s="773" t="s">
        <v>93</v>
      </c>
      <c r="AF48" s="774"/>
      <c r="AG48" s="775"/>
      <c r="AH48" s="773" t="s">
        <v>94</v>
      </c>
      <c r="AI48" s="774"/>
      <c r="AJ48" s="775"/>
      <c r="AK48" s="773" t="s">
        <v>86</v>
      </c>
      <c r="AL48" s="774"/>
      <c r="AM48" s="774"/>
      <c r="AN48" s="775"/>
      <c r="AO48" s="773" t="s">
        <v>87</v>
      </c>
      <c r="AP48" s="774"/>
      <c r="AQ48" s="774"/>
      <c r="AR48" s="779"/>
    </row>
    <row r="49" spans="1:44" ht="18" customHeight="1">
      <c r="C49" s="795"/>
      <c r="D49" s="777"/>
      <c r="E49" s="778"/>
      <c r="F49" s="776"/>
      <c r="G49" s="777"/>
      <c r="H49" s="777"/>
      <c r="I49" s="777"/>
      <c r="J49" s="777"/>
      <c r="K49" s="777"/>
      <c r="L49" s="777"/>
      <c r="M49" s="777"/>
      <c r="N49" s="777"/>
      <c r="O49" s="777"/>
      <c r="P49" s="777"/>
      <c r="Q49" s="777"/>
      <c r="R49" s="778"/>
      <c r="S49" s="776"/>
      <c r="T49" s="777"/>
      <c r="U49" s="778"/>
      <c r="V49" s="776"/>
      <c r="W49" s="777"/>
      <c r="X49" s="778"/>
      <c r="Y49" s="776"/>
      <c r="Z49" s="777"/>
      <c r="AA49" s="777"/>
      <c r="AB49" s="777"/>
      <c r="AC49" s="777"/>
      <c r="AD49" s="778"/>
      <c r="AE49" s="776"/>
      <c r="AF49" s="777"/>
      <c r="AG49" s="778"/>
      <c r="AH49" s="776"/>
      <c r="AI49" s="777"/>
      <c r="AJ49" s="778"/>
      <c r="AK49" s="776"/>
      <c r="AL49" s="777"/>
      <c r="AM49" s="777"/>
      <c r="AN49" s="778"/>
      <c r="AO49" s="776"/>
      <c r="AP49" s="777"/>
      <c r="AQ49" s="777"/>
      <c r="AR49" s="780"/>
    </row>
    <row r="50" spans="1:44" ht="18" customHeight="1">
      <c r="C50" s="781"/>
      <c r="D50" s="782"/>
      <c r="E50" s="783"/>
      <c r="F50" s="457"/>
      <c r="G50" s="457"/>
      <c r="H50" s="457"/>
      <c r="I50" s="457"/>
      <c r="J50" s="457"/>
      <c r="K50" s="457"/>
      <c r="L50" s="457"/>
      <c r="M50" s="457"/>
      <c r="N50" s="457"/>
      <c r="O50" s="457"/>
      <c r="P50" s="457"/>
      <c r="Q50" s="457"/>
      <c r="R50" s="457"/>
      <c r="S50" s="784"/>
      <c r="T50" s="785"/>
      <c r="U50" s="786"/>
      <c r="V50" s="784"/>
      <c r="W50" s="785"/>
      <c r="X50" s="786"/>
      <c r="Y50" s="787"/>
      <c r="Z50" s="788"/>
      <c r="AA50" s="788"/>
      <c r="AB50" s="788"/>
      <c r="AC50" s="788"/>
      <c r="AD50" s="789"/>
      <c r="AE50" s="449"/>
      <c r="AF50" s="449"/>
      <c r="AG50" s="449"/>
      <c r="AH50" s="770"/>
      <c r="AI50" s="771"/>
      <c r="AJ50" s="790"/>
      <c r="AK50" s="791"/>
      <c r="AL50" s="792"/>
      <c r="AM50" s="792"/>
      <c r="AN50" s="793"/>
      <c r="AO50" s="770"/>
      <c r="AP50" s="771"/>
      <c r="AQ50" s="771"/>
      <c r="AR50" s="772"/>
    </row>
    <row r="51" spans="1:44" ht="18" customHeight="1">
      <c r="C51" s="758"/>
      <c r="D51" s="759"/>
      <c r="E51" s="760"/>
      <c r="F51" s="761"/>
      <c r="G51" s="762"/>
      <c r="H51" s="762"/>
      <c r="I51" s="762"/>
      <c r="J51" s="762"/>
      <c r="K51" s="762"/>
      <c r="L51" s="762"/>
      <c r="M51" s="762"/>
      <c r="N51" s="762"/>
      <c r="O51" s="762"/>
      <c r="P51" s="762"/>
      <c r="Q51" s="762"/>
      <c r="R51" s="763"/>
      <c r="S51" s="764"/>
      <c r="T51" s="765"/>
      <c r="U51" s="766"/>
      <c r="V51" s="764"/>
      <c r="W51" s="765"/>
      <c r="X51" s="766"/>
      <c r="Y51" s="767"/>
      <c r="Z51" s="768"/>
      <c r="AA51" s="768"/>
      <c r="AB51" s="768"/>
      <c r="AC51" s="768"/>
      <c r="AD51" s="769"/>
      <c r="AE51" s="740"/>
      <c r="AF51" s="741"/>
      <c r="AG51" s="757"/>
      <c r="AH51" s="740"/>
      <c r="AI51" s="741"/>
      <c r="AJ51" s="757"/>
      <c r="AK51" s="737"/>
      <c r="AL51" s="738"/>
      <c r="AM51" s="738"/>
      <c r="AN51" s="739"/>
      <c r="AO51" s="740">
        <f t="shared" ref="AO51:AO57" si="0">ROUND(AE51*AH51*AK51,2)</f>
        <v>0</v>
      </c>
      <c r="AP51" s="741"/>
      <c r="AQ51" s="741"/>
      <c r="AR51" s="742"/>
    </row>
    <row r="52" spans="1:44" ht="18" customHeight="1">
      <c r="C52" s="758"/>
      <c r="D52" s="759"/>
      <c r="E52" s="760"/>
      <c r="F52" s="761"/>
      <c r="G52" s="762"/>
      <c r="H52" s="762"/>
      <c r="I52" s="762"/>
      <c r="J52" s="762"/>
      <c r="K52" s="762"/>
      <c r="L52" s="762"/>
      <c r="M52" s="762"/>
      <c r="N52" s="762"/>
      <c r="O52" s="762"/>
      <c r="P52" s="762"/>
      <c r="Q52" s="762"/>
      <c r="R52" s="763"/>
      <c r="S52" s="764"/>
      <c r="T52" s="765"/>
      <c r="U52" s="766"/>
      <c r="V52" s="764"/>
      <c r="W52" s="765"/>
      <c r="X52" s="766"/>
      <c r="Y52" s="767"/>
      <c r="Z52" s="768"/>
      <c r="AA52" s="768"/>
      <c r="AB52" s="768"/>
      <c r="AC52" s="768"/>
      <c r="AD52" s="769"/>
      <c r="AE52" s="740"/>
      <c r="AF52" s="741"/>
      <c r="AG52" s="757"/>
      <c r="AH52" s="740"/>
      <c r="AI52" s="741"/>
      <c r="AJ52" s="757"/>
      <c r="AK52" s="737"/>
      <c r="AL52" s="738"/>
      <c r="AM52" s="738"/>
      <c r="AN52" s="739"/>
      <c r="AO52" s="740">
        <f t="shared" si="0"/>
        <v>0</v>
      </c>
      <c r="AP52" s="741"/>
      <c r="AQ52" s="741"/>
      <c r="AR52" s="742"/>
    </row>
    <row r="53" spans="1:44" ht="18" customHeight="1">
      <c r="C53" s="758"/>
      <c r="D53" s="759"/>
      <c r="E53" s="760"/>
      <c r="F53" s="761"/>
      <c r="G53" s="762"/>
      <c r="H53" s="762"/>
      <c r="I53" s="762"/>
      <c r="J53" s="762"/>
      <c r="K53" s="762"/>
      <c r="L53" s="762"/>
      <c r="M53" s="762"/>
      <c r="N53" s="762"/>
      <c r="O53" s="762"/>
      <c r="P53" s="762"/>
      <c r="Q53" s="762"/>
      <c r="R53" s="763"/>
      <c r="S53" s="764"/>
      <c r="T53" s="765"/>
      <c r="U53" s="766"/>
      <c r="V53" s="764"/>
      <c r="W53" s="765"/>
      <c r="X53" s="766"/>
      <c r="Y53" s="767"/>
      <c r="Z53" s="768"/>
      <c r="AA53" s="768"/>
      <c r="AB53" s="768"/>
      <c r="AC53" s="768"/>
      <c r="AD53" s="769"/>
      <c r="AE53" s="740"/>
      <c r="AF53" s="741"/>
      <c r="AG53" s="757"/>
      <c r="AH53" s="740"/>
      <c r="AI53" s="741"/>
      <c r="AJ53" s="757"/>
      <c r="AK53" s="737"/>
      <c r="AL53" s="738"/>
      <c r="AM53" s="738"/>
      <c r="AN53" s="739"/>
      <c r="AO53" s="740">
        <f t="shared" si="0"/>
        <v>0</v>
      </c>
      <c r="AP53" s="741"/>
      <c r="AQ53" s="741"/>
      <c r="AR53" s="742"/>
    </row>
    <row r="54" spans="1:44" ht="18" customHeight="1">
      <c r="C54" s="758"/>
      <c r="D54" s="759"/>
      <c r="E54" s="760"/>
      <c r="F54" s="761"/>
      <c r="G54" s="762"/>
      <c r="H54" s="762"/>
      <c r="I54" s="762"/>
      <c r="J54" s="762"/>
      <c r="K54" s="762"/>
      <c r="L54" s="762"/>
      <c r="M54" s="762"/>
      <c r="N54" s="762"/>
      <c r="O54" s="762"/>
      <c r="P54" s="762"/>
      <c r="Q54" s="762"/>
      <c r="R54" s="763"/>
      <c r="S54" s="764"/>
      <c r="T54" s="765"/>
      <c r="U54" s="766"/>
      <c r="V54" s="764"/>
      <c r="W54" s="765"/>
      <c r="X54" s="766"/>
      <c r="Y54" s="767"/>
      <c r="Z54" s="768"/>
      <c r="AA54" s="768"/>
      <c r="AB54" s="768"/>
      <c r="AC54" s="768"/>
      <c r="AD54" s="769"/>
      <c r="AE54" s="740"/>
      <c r="AF54" s="741"/>
      <c r="AG54" s="757"/>
      <c r="AH54" s="740"/>
      <c r="AI54" s="741"/>
      <c r="AJ54" s="757"/>
      <c r="AK54" s="737"/>
      <c r="AL54" s="738"/>
      <c r="AM54" s="738"/>
      <c r="AN54" s="739"/>
      <c r="AO54" s="740">
        <f t="shared" si="0"/>
        <v>0</v>
      </c>
      <c r="AP54" s="741"/>
      <c r="AQ54" s="741"/>
      <c r="AR54" s="742"/>
    </row>
    <row r="55" spans="1:44" ht="18" customHeight="1">
      <c r="C55" s="758"/>
      <c r="D55" s="759"/>
      <c r="E55" s="760"/>
      <c r="F55" s="761"/>
      <c r="G55" s="762"/>
      <c r="H55" s="762"/>
      <c r="I55" s="762"/>
      <c r="J55" s="762"/>
      <c r="K55" s="762"/>
      <c r="L55" s="762"/>
      <c r="M55" s="762"/>
      <c r="N55" s="762"/>
      <c r="O55" s="762"/>
      <c r="P55" s="762"/>
      <c r="Q55" s="762"/>
      <c r="R55" s="763"/>
      <c r="S55" s="764"/>
      <c r="T55" s="765"/>
      <c r="U55" s="766"/>
      <c r="V55" s="764"/>
      <c r="W55" s="765"/>
      <c r="X55" s="766"/>
      <c r="Y55" s="767"/>
      <c r="Z55" s="768"/>
      <c r="AA55" s="768"/>
      <c r="AB55" s="768"/>
      <c r="AC55" s="768"/>
      <c r="AD55" s="769"/>
      <c r="AE55" s="740"/>
      <c r="AF55" s="741"/>
      <c r="AG55" s="757"/>
      <c r="AH55" s="740"/>
      <c r="AI55" s="741"/>
      <c r="AJ55" s="757"/>
      <c r="AK55" s="737"/>
      <c r="AL55" s="738"/>
      <c r="AM55" s="738"/>
      <c r="AN55" s="739"/>
      <c r="AO55" s="740">
        <f t="shared" si="0"/>
        <v>0</v>
      </c>
      <c r="AP55" s="741"/>
      <c r="AQ55" s="741"/>
      <c r="AR55" s="742"/>
    </row>
    <row r="56" spans="1:44" ht="18" customHeight="1">
      <c r="C56" s="758"/>
      <c r="D56" s="759"/>
      <c r="E56" s="760"/>
      <c r="F56" s="761"/>
      <c r="G56" s="762"/>
      <c r="H56" s="762"/>
      <c r="I56" s="762"/>
      <c r="J56" s="762"/>
      <c r="K56" s="762"/>
      <c r="L56" s="762"/>
      <c r="M56" s="762"/>
      <c r="N56" s="762"/>
      <c r="O56" s="762"/>
      <c r="P56" s="762"/>
      <c r="Q56" s="762"/>
      <c r="R56" s="763"/>
      <c r="S56" s="764"/>
      <c r="T56" s="765"/>
      <c r="U56" s="766"/>
      <c r="V56" s="764"/>
      <c r="W56" s="765"/>
      <c r="X56" s="766"/>
      <c r="Y56" s="767"/>
      <c r="Z56" s="768"/>
      <c r="AA56" s="768"/>
      <c r="AB56" s="768"/>
      <c r="AC56" s="768"/>
      <c r="AD56" s="769"/>
      <c r="AE56" s="740"/>
      <c r="AF56" s="741"/>
      <c r="AG56" s="757"/>
      <c r="AH56" s="740"/>
      <c r="AI56" s="741"/>
      <c r="AJ56" s="757"/>
      <c r="AK56" s="737"/>
      <c r="AL56" s="738"/>
      <c r="AM56" s="738"/>
      <c r="AN56" s="739"/>
      <c r="AO56" s="740">
        <f t="shared" si="0"/>
        <v>0</v>
      </c>
      <c r="AP56" s="741"/>
      <c r="AQ56" s="741"/>
      <c r="AR56" s="742"/>
    </row>
    <row r="57" spans="1:44" ht="18" customHeight="1">
      <c r="C57" s="758"/>
      <c r="D57" s="759"/>
      <c r="E57" s="760"/>
      <c r="F57" s="761"/>
      <c r="G57" s="762"/>
      <c r="H57" s="762"/>
      <c r="I57" s="762"/>
      <c r="J57" s="762"/>
      <c r="K57" s="762"/>
      <c r="L57" s="762"/>
      <c r="M57" s="762"/>
      <c r="N57" s="762"/>
      <c r="O57" s="762"/>
      <c r="P57" s="762"/>
      <c r="Q57" s="762"/>
      <c r="R57" s="763"/>
      <c r="S57" s="764"/>
      <c r="T57" s="765"/>
      <c r="U57" s="766"/>
      <c r="V57" s="764"/>
      <c r="W57" s="765"/>
      <c r="X57" s="766"/>
      <c r="Y57" s="767"/>
      <c r="Z57" s="768"/>
      <c r="AA57" s="768"/>
      <c r="AB57" s="768"/>
      <c r="AC57" s="768"/>
      <c r="AD57" s="769"/>
      <c r="AE57" s="740"/>
      <c r="AF57" s="741"/>
      <c r="AG57" s="757"/>
      <c r="AH57" s="740"/>
      <c r="AI57" s="741"/>
      <c r="AJ57" s="757"/>
      <c r="AK57" s="737"/>
      <c r="AL57" s="738"/>
      <c r="AM57" s="738"/>
      <c r="AN57" s="739"/>
      <c r="AO57" s="740">
        <f t="shared" si="0"/>
        <v>0</v>
      </c>
      <c r="AP57" s="741"/>
      <c r="AQ57" s="741"/>
      <c r="AR57" s="742"/>
    </row>
    <row r="58" spans="1:44" ht="18" customHeight="1">
      <c r="C58" s="743"/>
      <c r="D58" s="744"/>
      <c r="E58" s="744"/>
      <c r="F58" s="744"/>
      <c r="G58" s="744"/>
      <c r="H58" s="744"/>
      <c r="I58" s="744"/>
      <c r="J58" s="744"/>
      <c r="K58" s="744"/>
      <c r="L58" s="744"/>
      <c r="M58" s="744"/>
      <c r="N58" s="744"/>
      <c r="O58" s="744"/>
      <c r="P58" s="744"/>
      <c r="Q58" s="744"/>
      <c r="R58" s="744"/>
      <c r="S58" s="744"/>
      <c r="T58" s="744"/>
      <c r="U58" s="744"/>
      <c r="V58" s="744"/>
      <c r="W58" s="744"/>
      <c r="X58" s="744"/>
      <c r="Y58" s="745" t="s">
        <v>95</v>
      </c>
      <c r="Z58" s="745"/>
      <c r="AA58" s="745"/>
      <c r="AB58" s="745"/>
      <c r="AC58" s="745"/>
      <c r="AD58" s="745"/>
      <c r="AE58" s="745"/>
      <c r="AF58" s="745"/>
      <c r="AG58" s="745"/>
      <c r="AH58" s="745"/>
      <c r="AI58" s="745"/>
      <c r="AJ58" s="745"/>
      <c r="AK58" s="745"/>
      <c r="AL58" s="745"/>
      <c r="AM58" s="745"/>
      <c r="AN58" s="430"/>
      <c r="AO58" s="477">
        <f>SUM(AO50:AR57)</f>
        <v>0</v>
      </c>
      <c r="AP58" s="746"/>
      <c r="AQ58" s="746"/>
      <c r="AR58" s="747"/>
    </row>
    <row r="60" spans="1:44" ht="18" customHeight="1">
      <c r="C60" s="434"/>
      <c r="D60" s="434"/>
      <c r="E60" s="434"/>
      <c r="F60" s="434"/>
      <c r="G60" s="434"/>
      <c r="H60" s="434"/>
      <c r="I60" s="434"/>
      <c r="J60" s="434"/>
      <c r="K60" s="434"/>
      <c r="L60" s="434"/>
      <c r="M60" s="434"/>
      <c r="N60" s="434"/>
      <c r="O60" s="434"/>
      <c r="P60" s="434"/>
      <c r="Q60" s="434"/>
      <c r="R60" s="434"/>
      <c r="S60" s="434"/>
      <c r="T60" s="434"/>
      <c r="U60" s="434"/>
      <c r="V60" s="434"/>
      <c r="W60" s="434"/>
      <c r="X60" s="748"/>
      <c r="Y60" s="749" t="s">
        <v>96</v>
      </c>
      <c r="Z60" s="750"/>
      <c r="AA60" s="750"/>
      <c r="AB60" s="750"/>
      <c r="AC60" s="750"/>
      <c r="AD60" s="750"/>
      <c r="AE60" s="750"/>
      <c r="AF60" s="750"/>
      <c r="AG60" s="750"/>
      <c r="AH60" s="750"/>
      <c r="AI60" s="750"/>
      <c r="AJ60" s="750"/>
      <c r="AK60" s="750"/>
      <c r="AL60" s="750"/>
      <c r="AM60" s="750"/>
      <c r="AN60" s="751"/>
      <c r="AO60" s="752">
        <f>AO33+AO46+AO58</f>
        <v>6.13</v>
      </c>
      <c r="AP60" s="753"/>
      <c r="AQ60" s="753"/>
      <c r="AR60" s="754"/>
    </row>
    <row r="61" spans="1:44" ht="18" customHeight="1">
      <c r="C61" s="434"/>
      <c r="D61" s="434"/>
      <c r="E61" s="434"/>
      <c r="F61" s="434"/>
      <c r="G61" s="434"/>
      <c r="H61" s="434"/>
      <c r="I61" s="434"/>
      <c r="J61" s="434"/>
      <c r="K61" s="434"/>
      <c r="L61" s="434"/>
      <c r="M61" s="434"/>
      <c r="N61" s="434"/>
      <c r="O61" s="434"/>
      <c r="P61" s="434"/>
      <c r="Q61" s="434"/>
      <c r="R61" s="434"/>
      <c r="S61" s="434"/>
      <c r="T61" s="434"/>
      <c r="U61" s="434"/>
      <c r="V61" s="434"/>
      <c r="W61" s="434"/>
      <c r="X61" s="748"/>
      <c r="Y61" s="755" t="s">
        <v>97</v>
      </c>
      <c r="Z61" s="756"/>
      <c r="AA61" s="756"/>
      <c r="AB61" s="756"/>
      <c r="AC61" s="756"/>
      <c r="AD61" s="756"/>
      <c r="AE61" s="756"/>
      <c r="AF61" s="756"/>
      <c r="AG61" s="756"/>
      <c r="AH61" s="442">
        <v>0.2031</v>
      </c>
      <c r="AI61" s="442"/>
      <c r="AJ61" s="442"/>
      <c r="AK61" s="442"/>
      <c r="AL61" s="442"/>
      <c r="AM61" s="442"/>
      <c r="AN61" s="443"/>
      <c r="AO61" s="728">
        <f>ROUND(AO60*AH61,2)</f>
        <v>1.25</v>
      </c>
      <c r="AP61" s="729"/>
      <c r="AQ61" s="729"/>
      <c r="AR61" s="730"/>
    </row>
    <row r="62" spans="1:44" ht="18" customHeight="1">
      <c r="A62" s="415" t="s">
        <v>955</v>
      </c>
      <c r="B62" s="415"/>
      <c r="C62" s="434"/>
      <c r="D62" s="434"/>
      <c r="E62" s="434"/>
      <c r="F62" s="434"/>
      <c r="G62" s="434"/>
      <c r="H62" s="434"/>
      <c r="I62" s="434"/>
      <c r="J62" s="434"/>
      <c r="K62" s="434"/>
      <c r="L62" s="434"/>
      <c r="M62" s="434"/>
      <c r="N62" s="434"/>
      <c r="O62" s="434"/>
      <c r="P62" s="434"/>
      <c r="Q62" s="434"/>
      <c r="R62" s="434"/>
      <c r="S62" s="434"/>
      <c r="T62" s="434"/>
      <c r="U62" s="434"/>
      <c r="V62" s="434"/>
      <c r="W62" s="434"/>
      <c r="X62" s="748"/>
      <c r="Y62" s="731" t="s">
        <v>98</v>
      </c>
      <c r="Z62" s="732"/>
      <c r="AA62" s="732"/>
      <c r="AB62" s="732"/>
      <c r="AC62" s="732"/>
      <c r="AD62" s="732"/>
      <c r="AE62" s="732"/>
      <c r="AF62" s="732"/>
      <c r="AG62" s="732"/>
      <c r="AH62" s="732"/>
      <c r="AI62" s="732"/>
      <c r="AJ62" s="732"/>
      <c r="AK62" s="732"/>
      <c r="AL62" s="732"/>
      <c r="AM62" s="732"/>
      <c r="AN62" s="733"/>
      <c r="AO62" s="734">
        <f>SUM(AO60:AR61)</f>
        <v>7.38</v>
      </c>
      <c r="AP62" s="735"/>
      <c r="AQ62" s="735"/>
      <c r="AR62" s="736"/>
    </row>
    <row r="64" spans="1:44" ht="18" customHeight="1">
      <c r="C64" s="420" t="s">
        <v>99</v>
      </c>
      <c r="D64" s="421"/>
      <c r="E64" s="421"/>
      <c r="F64" s="421"/>
      <c r="G64" s="421"/>
      <c r="H64" s="421"/>
      <c r="I64" s="422"/>
      <c r="J64" s="422"/>
      <c r="K64" s="422"/>
      <c r="L64" s="422"/>
      <c r="M64" s="422"/>
      <c r="N64" s="422"/>
      <c r="O64" s="422"/>
      <c r="P64" s="422"/>
      <c r="Q64" s="422"/>
      <c r="R64" s="422"/>
      <c r="S64" s="422"/>
      <c r="T64" s="422"/>
      <c r="U64" s="422"/>
      <c r="V64" s="422"/>
      <c r="W64" s="422"/>
      <c r="X64" s="422"/>
      <c r="Y64" s="422"/>
      <c r="Z64" s="422"/>
      <c r="AA64" s="422"/>
      <c r="AB64" s="422"/>
      <c r="AC64" s="422"/>
      <c r="AD64" s="422"/>
      <c r="AE64" s="422"/>
      <c r="AF64" s="422"/>
      <c r="AG64" s="422"/>
      <c r="AH64" s="422"/>
      <c r="AI64" s="422"/>
      <c r="AJ64" s="422"/>
      <c r="AK64" s="422"/>
      <c r="AL64" s="422"/>
      <c r="AM64" s="422"/>
      <c r="AN64" s="422"/>
      <c r="AO64" s="422"/>
      <c r="AP64" s="422"/>
      <c r="AQ64" s="422"/>
      <c r="AR64" s="423"/>
    </row>
    <row r="65" spans="3:44" ht="18" customHeight="1">
      <c r="C65" s="411"/>
      <c r="D65" s="412"/>
      <c r="E65" s="412"/>
      <c r="F65" s="412"/>
      <c r="G65" s="412"/>
      <c r="H65" s="412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409"/>
      <c r="AC65" s="409"/>
      <c r="AD65" s="409"/>
      <c r="AE65" s="409"/>
      <c r="AF65" s="409"/>
      <c r="AG65" s="409"/>
      <c r="AH65" s="409"/>
      <c r="AI65" s="409"/>
      <c r="AJ65" s="409"/>
      <c r="AK65" s="409"/>
      <c r="AL65" s="409"/>
      <c r="AM65" s="409"/>
      <c r="AN65" s="409"/>
      <c r="AO65" s="409"/>
      <c r="AP65" s="409"/>
      <c r="AQ65" s="409"/>
      <c r="AR65" s="410"/>
    </row>
    <row r="66" spans="3:44" ht="18" customHeight="1">
      <c r="C66" s="411"/>
      <c r="D66" s="412"/>
      <c r="E66" s="412"/>
      <c r="F66" s="412"/>
      <c r="G66" s="412"/>
      <c r="H66" s="412"/>
      <c r="I66" s="409"/>
      <c r="J66" s="409"/>
      <c r="K66" s="409"/>
      <c r="L66" s="409"/>
      <c r="M66" s="409"/>
      <c r="N66" s="409"/>
      <c r="O66" s="409"/>
      <c r="P66" s="409"/>
      <c r="Q66" s="409"/>
      <c r="R66" s="409"/>
      <c r="S66" s="409"/>
      <c r="T66" s="409"/>
      <c r="U66" s="409"/>
      <c r="V66" s="409"/>
      <c r="W66" s="409"/>
      <c r="X66" s="409"/>
      <c r="Y66" s="409"/>
      <c r="Z66" s="409"/>
      <c r="AA66" s="409"/>
      <c r="AB66" s="409"/>
      <c r="AC66" s="409"/>
      <c r="AD66" s="409"/>
      <c r="AE66" s="409"/>
      <c r="AF66" s="409"/>
      <c r="AG66" s="409"/>
      <c r="AH66" s="409"/>
      <c r="AI66" s="409"/>
      <c r="AJ66" s="409"/>
      <c r="AK66" s="409"/>
      <c r="AL66" s="409"/>
      <c r="AM66" s="409"/>
      <c r="AN66" s="409"/>
      <c r="AO66" s="409"/>
      <c r="AP66" s="409"/>
      <c r="AQ66" s="409"/>
      <c r="AR66" s="410"/>
    </row>
    <row r="67" spans="3:44" ht="18" customHeight="1">
      <c r="C67" s="411"/>
      <c r="D67" s="412"/>
      <c r="E67" s="412"/>
      <c r="F67" s="412"/>
      <c r="G67" s="412"/>
      <c r="H67" s="412"/>
      <c r="I67" s="409"/>
      <c r="J67" s="409"/>
      <c r="K67" s="409"/>
      <c r="L67" s="409"/>
      <c r="M67" s="409"/>
      <c r="N67" s="409"/>
      <c r="O67" s="409"/>
      <c r="P67" s="409"/>
      <c r="Q67" s="409"/>
      <c r="R67" s="409"/>
      <c r="S67" s="409"/>
      <c r="T67" s="409"/>
      <c r="U67" s="409"/>
      <c r="V67" s="409"/>
      <c r="W67" s="409"/>
      <c r="X67" s="409"/>
      <c r="Y67" s="409"/>
      <c r="Z67" s="409"/>
      <c r="AA67" s="409"/>
      <c r="AB67" s="409"/>
      <c r="AC67" s="409"/>
      <c r="AD67" s="409"/>
      <c r="AE67" s="409"/>
      <c r="AF67" s="409"/>
      <c r="AG67" s="409"/>
      <c r="AH67" s="409"/>
      <c r="AI67" s="409"/>
      <c r="AJ67" s="409"/>
      <c r="AK67" s="409"/>
      <c r="AL67" s="409"/>
      <c r="AM67" s="409"/>
      <c r="AN67" s="409"/>
      <c r="AO67" s="409"/>
      <c r="AP67" s="409"/>
      <c r="AQ67" s="409"/>
      <c r="AR67" s="410"/>
    </row>
    <row r="68" spans="3:44" ht="18" customHeight="1">
      <c r="C68" s="411"/>
      <c r="D68" s="412"/>
      <c r="E68" s="412"/>
      <c r="F68" s="412"/>
      <c r="G68" s="412"/>
      <c r="H68" s="412"/>
      <c r="I68" s="409"/>
      <c r="J68" s="409"/>
      <c r="K68" s="409"/>
      <c r="L68" s="409"/>
      <c r="M68" s="409"/>
      <c r="N68" s="409"/>
      <c r="O68" s="409"/>
      <c r="P68" s="409"/>
      <c r="Q68" s="409"/>
      <c r="R68" s="409"/>
      <c r="S68" s="409"/>
      <c r="T68" s="409"/>
      <c r="U68" s="409"/>
      <c r="V68" s="409"/>
      <c r="W68" s="409"/>
      <c r="X68" s="409"/>
      <c r="Y68" s="409"/>
      <c r="Z68" s="409"/>
      <c r="AA68" s="409"/>
      <c r="AB68" s="409"/>
      <c r="AC68" s="409"/>
      <c r="AD68" s="409"/>
      <c r="AE68" s="409"/>
      <c r="AF68" s="409"/>
      <c r="AG68" s="409"/>
      <c r="AH68" s="409"/>
      <c r="AI68" s="409"/>
      <c r="AJ68" s="409"/>
      <c r="AK68" s="409"/>
      <c r="AL68" s="409"/>
      <c r="AM68" s="409"/>
      <c r="AN68" s="409"/>
      <c r="AO68" s="409"/>
      <c r="AP68" s="409"/>
      <c r="AQ68" s="409"/>
      <c r="AR68" s="410"/>
    </row>
    <row r="69" spans="3:44" ht="18" customHeight="1">
      <c r="C69" s="385"/>
      <c r="D69" s="386"/>
      <c r="E69" s="386"/>
      <c r="F69" s="386"/>
      <c r="G69" s="386"/>
      <c r="H69" s="386"/>
      <c r="I69" s="387"/>
      <c r="J69" s="387"/>
      <c r="K69" s="387"/>
      <c r="L69" s="387"/>
      <c r="M69" s="387"/>
      <c r="N69" s="387"/>
      <c r="O69" s="387"/>
      <c r="P69" s="387"/>
      <c r="Q69" s="387"/>
      <c r="R69" s="387"/>
      <c r="S69" s="387"/>
      <c r="T69" s="387"/>
      <c r="U69" s="387"/>
      <c r="V69" s="387"/>
      <c r="W69" s="387"/>
      <c r="X69" s="387"/>
      <c r="Y69" s="387"/>
      <c r="Z69" s="387"/>
      <c r="AA69" s="387"/>
      <c r="AB69" s="387"/>
      <c r="AC69" s="387"/>
      <c r="AD69" s="387"/>
      <c r="AE69" s="387"/>
      <c r="AF69" s="387"/>
      <c r="AG69" s="387"/>
      <c r="AH69" s="387"/>
      <c r="AI69" s="387"/>
      <c r="AJ69" s="387"/>
      <c r="AK69" s="387"/>
      <c r="AL69" s="387"/>
      <c r="AM69" s="387"/>
      <c r="AN69" s="387"/>
      <c r="AO69" s="387"/>
      <c r="AP69" s="387"/>
      <c r="AQ69" s="387"/>
      <c r="AR69" s="388"/>
    </row>
    <row r="71" spans="3:44" ht="18" customHeight="1">
      <c r="C71" s="389" t="s">
        <v>100</v>
      </c>
      <c r="D71" s="390"/>
      <c r="E71" s="390"/>
      <c r="F71" s="390"/>
      <c r="G71" s="390"/>
      <c r="H71" s="390"/>
      <c r="I71" s="390"/>
      <c r="J71" s="390"/>
      <c r="K71" s="390"/>
      <c r="L71" s="390"/>
      <c r="M71" s="390"/>
      <c r="N71" s="390"/>
      <c r="O71" s="390"/>
      <c r="P71" s="390"/>
      <c r="Q71" s="390"/>
      <c r="R71" s="390"/>
      <c r="S71" s="390"/>
      <c r="T71" s="390"/>
      <c r="U71" s="390"/>
      <c r="V71" s="390"/>
      <c r="W71" s="390"/>
      <c r="X71" s="390"/>
      <c r="Y71" s="390"/>
      <c r="Z71" s="390"/>
      <c r="AA71" s="391"/>
      <c r="AB71" s="392" t="str">
        <f>[4]C.UNIT.SERV.!$E$5</f>
        <v>DATA-BASE:      MAIO/2011/PR</v>
      </c>
      <c r="AC71" s="393"/>
      <c r="AD71" s="393"/>
      <c r="AE71" s="393"/>
      <c r="AF71" s="393"/>
      <c r="AG71" s="393"/>
      <c r="AH71" s="393"/>
      <c r="AI71" s="394"/>
      <c r="AJ71" s="392"/>
      <c r="AK71" s="393"/>
      <c r="AL71" s="393"/>
      <c r="AM71" s="393"/>
      <c r="AN71" s="393"/>
      <c r="AO71" s="393"/>
      <c r="AP71" s="393"/>
      <c r="AQ71" s="393"/>
      <c r="AR71" s="401"/>
    </row>
    <row r="72" spans="3:44" ht="18" customHeight="1">
      <c r="C72" s="404" t="s">
        <v>101</v>
      </c>
      <c r="D72" s="405"/>
      <c r="E72" s="405"/>
      <c r="F72" s="405"/>
      <c r="G72" s="405" t="s">
        <v>283</v>
      </c>
      <c r="H72" s="405"/>
      <c r="I72" s="405"/>
      <c r="J72" s="405"/>
      <c r="K72" s="405"/>
      <c r="L72" s="405"/>
      <c r="M72" s="405"/>
      <c r="N72" s="405"/>
      <c r="O72" s="405"/>
      <c r="P72" s="405"/>
      <c r="Q72" s="405"/>
      <c r="R72" s="405"/>
      <c r="S72" s="405"/>
      <c r="T72" s="405"/>
      <c r="U72" s="405"/>
      <c r="V72" s="405"/>
      <c r="W72" s="405"/>
      <c r="X72" s="405"/>
      <c r="Y72" s="405"/>
      <c r="Z72" s="405"/>
      <c r="AA72" s="406"/>
      <c r="AB72" s="395"/>
      <c r="AC72" s="396"/>
      <c r="AD72" s="396"/>
      <c r="AE72" s="396"/>
      <c r="AF72" s="396"/>
      <c r="AG72" s="396"/>
      <c r="AH72" s="396"/>
      <c r="AI72" s="397"/>
      <c r="AJ72" s="395"/>
      <c r="AK72" s="396"/>
      <c r="AL72" s="396"/>
      <c r="AM72" s="396"/>
      <c r="AN72" s="396"/>
      <c r="AO72" s="396"/>
      <c r="AP72" s="396"/>
      <c r="AQ72" s="396"/>
      <c r="AR72" s="402"/>
    </row>
    <row r="73" spans="3:44" ht="18" customHeight="1">
      <c r="C73" s="404" t="s">
        <v>102</v>
      </c>
      <c r="D73" s="405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5"/>
      <c r="Q73" s="405"/>
      <c r="R73" s="405"/>
      <c r="S73" s="405"/>
      <c r="T73" s="405"/>
      <c r="U73" s="405"/>
      <c r="V73" s="405"/>
      <c r="W73" s="405"/>
      <c r="X73" s="405"/>
      <c r="Y73" s="405"/>
      <c r="Z73" s="405"/>
      <c r="AA73" s="406"/>
      <c r="AB73" s="395"/>
      <c r="AC73" s="396"/>
      <c r="AD73" s="396"/>
      <c r="AE73" s="396"/>
      <c r="AF73" s="396"/>
      <c r="AG73" s="396"/>
      <c r="AH73" s="396"/>
      <c r="AI73" s="397"/>
      <c r="AJ73" s="395"/>
      <c r="AK73" s="396"/>
      <c r="AL73" s="396"/>
      <c r="AM73" s="396"/>
      <c r="AN73" s="396"/>
      <c r="AO73" s="396"/>
      <c r="AP73" s="396"/>
      <c r="AQ73" s="396"/>
      <c r="AR73" s="402"/>
    </row>
    <row r="74" spans="3:44" ht="18" customHeight="1">
      <c r="C74" s="407"/>
      <c r="D74" s="408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8"/>
      <c r="Q74" s="408"/>
      <c r="R74" s="408"/>
      <c r="S74" s="408"/>
      <c r="T74" s="408"/>
      <c r="U74" s="408"/>
      <c r="V74" s="408"/>
      <c r="W74" s="408"/>
      <c r="X74" s="408"/>
      <c r="Y74" s="408"/>
      <c r="Z74" s="408"/>
      <c r="AA74" s="408"/>
      <c r="AB74" s="398"/>
      <c r="AC74" s="399"/>
      <c r="AD74" s="399"/>
      <c r="AE74" s="399"/>
      <c r="AF74" s="399"/>
      <c r="AG74" s="399"/>
      <c r="AH74" s="399"/>
      <c r="AI74" s="400"/>
      <c r="AJ74" s="398"/>
      <c r="AK74" s="399"/>
      <c r="AL74" s="399"/>
      <c r="AM74" s="399"/>
      <c r="AN74" s="399"/>
      <c r="AO74" s="399"/>
      <c r="AP74" s="399"/>
      <c r="AQ74" s="399"/>
      <c r="AR74" s="403"/>
    </row>
  </sheetData>
  <mergeCells count="340">
    <mergeCell ref="C2:AR3"/>
    <mergeCell ref="C4:F5"/>
    <mergeCell ref="G4:J5"/>
    <mergeCell ref="K4:N5"/>
    <mergeCell ref="O4:AK5"/>
    <mergeCell ref="AL4:AO5"/>
    <mergeCell ref="AP4:AR5"/>
    <mergeCell ref="C7:E8"/>
    <mergeCell ref="F7:U8"/>
    <mergeCell ref="V7:X8"/>
    <mergeCell ref="Y7:AF7"/>
    <mergeCell ref="AG7:AN7"/>
    <mergeCell ref="AO7:AR8"/>
    <mergeCell ref="Y8:AB8"/>
    <mergeCell ref="AC8:AF8"/>
    <mergeCell ref="AG8:AJ8"/>
    <mergeCell ref="AK8:AN8"/>
    <mergeCell ref="AK9:AN9"/>
    <mergeCell ref="AO9:AR9"/>
    <mergeCell ref="C10:E10"/>
    <mergeCell ref="F10:U10"/>
    <mergeCell ref="V10:X10"/>
    <mergeCell ref="Y10:AB10"/>
    <mergeCell ref="AC10:AF10"/>
    <mergeCell ref="AG10:AJ10"/>
    <mergeCell ref="AK10:AN10"/>
    <mergeCell ref="AO10:AR10"/>
    <mergeCell ref="C9:E9"/>
    <mergeCell ref="F9:U9"/>
    <mergeCell ref="V9:X9"/>
    <mergeCell ref="Y9:AB9"/>
    <mergeCell ref="AC9:AF9"/>
    <mergeCell ref="AG9:AJ9"/>
    <mergeCell ref="AK11:AN11"/>
    <mergeCell ref="AO11:AR11"/>
    <mergeCell ref="C12:E12"/>
    <mergeCell ref="F12:U12"/>
    <mergeCell ref="V12:X12"/>
    <mergeCell ref="Y12:AB12"/>
    <mergeCell ref="AC12:AF12"/>
    <mergeCell ref="AG12:AJ12"/>
    <mergeCell ref="AK12:AN12"/>
    <mergeCell ref="AO12:AR12"/>
    <mergeCell ref="C11:E11"/>
    <mergeCell ref="F11:U11"/>
    <mergeCell ref="V11:X11"/>
    <mergeCell ref="Y11:AB11"/>
    <mergeCell ref="AC11:AF11"/>
    <mergeCell ref="AG11:AJ11"/>
    <mergeCell ref="AK13:AN13"/>
    <mergeCell ref="AO13:AR13"/>
    <mergeCell ref="C14:E14"/>
    <mergeCell ref="F14:U14"/>
    <mergeCell ref="V14:X14"/>
    <mergeCell ref="Y14:AB14"/>
    <mergeCell ref="AC14:AF14"/>
    <mergeCell ref="AG14:AJ14"/>
    <mergeCell ref="AK14:AN14"/>
    <mergeCell ref="AO14:AR14"/>
    <mergeCell ref="C13:E13"/>
    <mergeCell ref="F13:U13"/>
    <mergeCell ref="V13:X13"/>
    <mergeCell ref="Y13:AB13"/>
    <mergeCell ref="AC13:AF13"/>
    <mergeCell ref="AG13:AJ13"/>
    <mergeCell ref="AK15:AN15"/>
    <mergeCell ref="AO15:AR15"/>
    <mergeCell ref="C16:E16"/>
    <mergeCell ref="F16:U16"/>
    <mergeCell ref="V16:X16"/>
    <mergeCell ref="Y16:AB16"/>
    <mergeCell ref="AC16:AF16"/>
    <mergeCell ref="AG16:AJ16"/>
    <mergeCell ref="AK16:AN16"/>
    <mergeCell ref="AO16:AR16"/>
    <mergeCell ref="C15:E15"/>
    <mergeCell ref="F15:U15"/>
    <mergeCell ref="V15:X15"/>
    <mergeCell ref="Y15:AB15"/>
    <mergeCell ref="AC15:AF15"/>
    <mergeCell ref="AG15:AJ15"/>
    <mergeCell ref="C17:X17"/>
    <mergeCell ref="Y17:AN17"/>
    <mergeCell ref="AO17:AR17"/>
    <mergeCell ref="C19:E20"/>
    <mergeCell ref="F19:AB20"/>
    <mergeCell ref="AC19:AF20"/>
    <mergeCell ref="AG19:AJ20"/>
    <mergeCell ref="AK19:AN20"/>
    <mergeCell ref="AO19:AR20"/>
    <mergeCell ref="C22:E22"/>
    <mergeCell ref="F22:AB22"/>
    <mergeCell ref="AC22:AF22"/>
    <mergeCell ref="AG22:AJ22"/>
    <mergeCell ref="AK22:AN22"/>
    <mergeCell ref="AO22:AR22"/>
    <mergeCell ref="C21:E21"/>
    <mergeCell ref="F21:AB21"/>
    <mergeCell ref="AC21:AF21"/>
    <mergeCell ref="AG21:AJ21"/>
    <mergeCell ref="AK21:AN21"/>
    <mergeCell ref="AO21:AR21"/>
    <mergeCell ref="C24:E24"/>
    <mergeCell ref="F24:AB24"/>
    <mergeCell ref="AC24:AF24"/>
    <mergeCell ref="AG24:AJ24"/>
    <mergeCell ref="AK24:AN24"/>
    <mergeCell ref="AO24:AR24"/>
    <mergeCell ref="C23:E23"/>
    <mergeCell ref="F23:AB23"/>
    <mergeCell ref="AC23:AF23"/>
    <mergeCell ref="AG23:AJ23"/>
    <mergeCell ref="AK23:AN23"/>
    <mergeCell ref="AO23:AR23"/>
    <mergeCell ref="C27:E27"/>
    <mergeCell ref="F27:AB27"/>
    <mergeCell ref="AC27:AF27"/>
    <mergeCell ref="AG27:AJ27"/>
    <mergeCell ref="AK27:AN27"/>
    <mergeCell ref="AO27:AR27"/>
    <mergeCell ref="C26:E26"/>
    <mergeCell ref="F26:AB26"/>
    <mergeCell ref="AC26:AF26"/>
    <mergeCell ref="AG26:AJ26"/>
    <mergeCell ref="AK26:AN26"/>
    <mergeCell ref="AO26:AR26"/>
    <mergeCell ref="C29:X29"/>
    <mergeCell ref="Y29:AF29"/>
    <mergeCell ref="AG29:AJ29"/>
    <mergeCell ref="AK29:AN29"/>
    <mergeCell ref="AO29:AR29"/>
    <mergeCell ref="C30:X30"/>
    <mergeCell ref="Y30:AN30"/>
    <mergeCell ref="AO30:AR30"/>
    <mergeCell ref="C28:E28"/>
    <mergeCell ref="F28:AB28"/>
    <mergeCell ref="AC28:AF28"/>
    <mergeCell ref="AG28:AJ28"/>
    <mergeCell ref="AK28:AN28"/>
    <mergeCell ref="AO28:AR28"/>
    <mergeCell ref="C35:E36"/>
    <mergeCell ref="F35:AB36"/>
    <mergeCell ref="AC35:AF36"/>
    <mergeCell ref="AG35:AJ36"/>
    <mergeCell ref="AK35:AN36"/>
    <mergeCell ref="AO35:AR36"/>
    <mergeCell ref="C32:X32"/>
    <mergeCell ref="Y32:AN32"/>
    <mergeCell ref="AO32:AR32"/>
    <mergeCell ref="C33:P33"/>
    <mergeCell ref="Q33:U33"/>
    <mergeCell ref="V33:X33"/>
    <mergeCell ref="Y33:AN33"/>
    <mergeCell ref="AO33:AR33"/>
    <mergeCell ref="C38:E38"/>
    <mergeCell ref="F38:AB38"/>
    <mergeCell ref="AC38:AF38"/>
    <mergeCell ref="AG38:AJ38"/>
    <mergeCell ref="AK38:AN38"/>
    <mergeCell ref="AO38:AR38"/>
    <mergeCell ref="C37:E37"/>
    <mergeCell ref="F37:AB37"/>
    <mergeCell ref="AC37:AF37"/>
    <mergeCell ref="AG37:AJ37"/>
    <mergeCell ref="AK37:AN37"/>
    <mergeCell ref="AO37:AR37"/>
    <mergeCell ref="C40:E40"/>
    <mergeCell ref="F40:AB40"/>
    <mergeCell ref="AC40:AF40"/>
    <mergeCell ref="AG40:AJ40"/>
    <mergeCell ref="AK40:AN40"/>
    <mergeCell ref="AO40:AR40"/>
    <mergeCell ref="C39:E39"/>
    <mergeCell ref="F39:AB39"/>
    <mergeCell ref="AC39:AF39"/>
    <mergeCell ref="AG39:AJ39"/>
    <mergeCell ref="AK39:AN39"/>
    <mergeCell ref="AO39:AR39"/>
    <mergeCell ref="C43:E43"/>
    <mergeCell ref="F43:AB43"/>
    <mergeCell ref="AC43:AF43"/>
    <mergeCell ref="AG43:AJ43"/>
    <mergeCell ref="AK43:AN43"/>
    <mergeCell ref="AO43:AR43"/>
    <mergeCell ref="F41:AB41"/>
    <mergeCell ref="AC41:AF41"/>
    <mergeCell ref="AG41:AJ41"/>
    <mergeCell ref="AK41:AN41"/>
    <mergeCell ref="AO41:AR41"/>
    <mergeCell ref="AC42:AF42"/>
    <mergeCell ref="AG42:AJ42"/>
    <mergeCell ref="AK42:AN42"/>
    <mergeCell ref="AO42:AR42"/>
    <mergeCell ref="C45:E45"/>
    <mergeCell ref="F45:AB45"/>
    <mergeCell ref="AC45:AF45"/>
    <mergeCell ref="AG45:AJ45"/>
    <mergeCell ref="AK45:AN45"/>
    <mergeCell ref="AO45:AR45"/>
    <mergeCell ref="C44:E44"/>
    <mergeCell ref="F44:AB44"/>
    <mergeCell ref="AC44:AF44"/>
    <mergeCell ref="AG44:AJ44"/>
    <mergeCell ref="AK44:AN44"/>
    <mergeCell ref="AO44:AR44"/>
    <mergeCell ref="C46:X46"/>
    <mergeCell ref="Y46:AN46"/>
    <mergeCell ref="AO46:AR46"/>
    <mergeCell ref="C48:E49"/>
    <mergeCell ref="F48:R49"/>
    <mergeCell ref="S48:U49"/>
    <mergeCell ref="V48:X49"/>
    <mergeCell ref="Y48:AD49"/>
    <mergeCell ref="AE48:AG49"/>
    <mergeCell ref="AH48:AJ49"/>
    <mergeCell ref="AK48:AN49"/>
    <mergeCell ref="AO48:AR49"/>
    <mergeCell ref="C50:E50"/>
    <mergeCell ref="F50:R50"/>
    <mergeCell ref="S50:U50"/>
    <mergeCell ref="V50:X50"/>
    <mergeCell ref="Y50:AD50"/>
    <mergeCell ref="AE50:AG50"/>
    <mergeCell ref="AH50:AJ50"/>
    <mergeCell ref="AK50:AN50"/>
    <mergeCell ref="AO50:AR50"/>
    <mergeCell ref="C51:E51"/>
    <mergeCell ref="F51:R51"/>
    <mergeCell ref="S51:U51"/>
    <mergeCell ref="V51:X51"/>
    <mergeCell ref="Y51:AD51"/>
    <mergeCell ref="AE51:AG51"/>
    <mergeCell ref="AH51:AJ51"/>
    <mergeCell ref="AK51:AN51"/>
    <mergeCell ref="AO51:AR51"/>
    <mergeCell ref="AH52:AJ52"/>
    <mergeCell ref="AK52:AN52"/>
    <mergeCell ref="AO52:AR52"/>
    <mergeCell ref="C53:E53"/>
    <mergeCell ref="F53:R53"/>
    <mergeCell ref="S53:U53"/>
    <mergeCell ref="V53:X53"/>
    <mergeCell ref="Y53:AD53"/>
    <mergeCell ref="AE53:AG53"/>
    <mergeCell ref="AH53:AJ53"/>
    <mergeCell ref="C52:E52"/>
    <mergeCell ref="F52:R52"/>
    <mergeCell ref="S52:U52"/>
    <mergeCell ref="V52:X52"/>
    <mergeCell ref="Y52:AD52"/>
    <mergeCell ref="AE52:AG52"/>
    <mergeCell ref="AK53:AN53"/>
    <mergeCell ref="AO53:AR53"/>
    <mergeCell ref="C54:E54"/>
    <mergeCell ref="F54:R54"/>
    <mergeCell ref="S54:U54"/>
    <mergeCell ref="V54:X54"/>
    <mergeCell ref="Y54:AD54"/>
    <mergeCell ref="AE54:AG54"/>
    <mergeCell ref="AH54:AJ54"/>
    <mergeCell ref="AK54:AN54"/>
    <mergeCell ref="AO54:AR54"/>
    <mergeCell ref="C55:E55"/>
    <mergeCell ref="F55:R55"/>
    <mergeCell ref="S55:U55"/>
    <mergeCell ref="V55:X55"/>
    <mergeCell ref="Y55:AD55"/>
    <mergeCell ref="AE55:AG55"/>
    <mergeCell ref="AH55:AJ55"/>
    <mergeCell ref="AK55:AN55"/>
    <mergeCell ref="AO55:AR55"/>
    <mergeCell ref="AH56:AJ56"/>
    <mergeCell ref="AK56:AN56"/>
    <mergeCell ref="AO56:AR56"/>
    <mergeCell ref="C57:E57"/>
    <mergeCell ref="F57:R57"/>
    <mergeCell ref="S57:U57"/>
    <mergeCell ref="V57:X57"/>
    <mergeCell ref="Y57:AD57"/>
    <mergeCell ref="AE57:AG57"/>
    <mergeCell ref="AH57:AJ57"/>
    <mergeCell ref="C56:E56"/>
    <mergeCell ref="F56:R56"/>
    <mergeCell ref="S56:U56"/>
    <mergeCell ref="V56:X56"/>
    <mergeCell ref="Y56:AD56"/>
    <mergeCell ref="AE56:AG56"/>
    <mergeCell ref="AK57:AN57"/>
    <mergeCell ref="AO57:AR57"/>
    <mergeCell ref="C58:X58"/>
    <mergeCell ref="Y58:AN58"/>
    <mergeCell ref="AO58:AR58"/>
    <mergeCell ref="C60:X62"/>
    <mergeCell ref="Y60:AN60"/>
    <mergeCell ref="AO60:AR60"/>
    <mergeCell ref="Y61:AG61"/>
    <mergeCell ref="AH61:AN61"/>
    <mergeCell ref="AO61:AR61"/>
    <mergeCell ref="A62:B62"/>
    <mergeCell ref="Y62:AN62"/>
    <mergeCell ref="AO62:AR62"/>
    <mergeCell ref="C64:H64"/>
    <mergeCell ref="I64:J64"/>
    <mergeCell ref="K64:Z64"/>
    <mergeCell ref="AA64:AB64"/>
    <mergeCell ref="AC64:AR64"/>
    <mergeCell ref="C65:H65"/>
    <mergeCell ref="I65:J65"/>
    <mergeCell ref="K65:Z65"/>
    <mergeCell ref="AA65:AB65"/>
    <mergeCell ref="AC65:AR65"/>
    <mergeCell ref="C66:H66"/>
    <mergeCell ref="I66:J66"/>
    <mergeCell ref="K66:Z66"/>
    <mergeCell ref="AA66:AB66"/>
    <mergeCell ref="AC66:AR66"/>
    <mergeCell ref="AC67:AR67"/>
    <mergeCell ref="C68:H68"/>
    <mergeCell ref="I68:J68"/>
    <mergeCell ref="K68:Z68"/>
    <mergeCell ref="AA68:AB68"/>
    <mergeCell ref="AC68:AR68"/>
    <mergeCell ref="C67:H67"/>
    <mergeCell ref="I67:J67"/>
    <mergeCell ref="K67:Z67"/>
    <mergeCell ref="AA67:AB67"/>
    <mergeCell ref="C69:H69"/>
    <mergeCell ref="I69:J69"/>
    <mergeCell ref="K69:Z69"/>
    <mergeCell ref="AA69:AB69"/>
    <mergeCell ref="AC69:AR69"/>
    <mergeCell ref="C71:F71"/>
    <mergeCell ref="G71:AA71"/>
    <mergeCell ref="AB71:AI74"/>
    <mergeCell ref="AJ71:AR74"/>
    <mergeCell ref="C72:F72"/>
    <mergeCell ref="G72:AA72"/>
    <mergeCell ref="C73:F73"/>
    <mergeCell ref="G73:AA73"/>
    <mergeCell ref="C74:AA74"/>
  </mergeCells>
  <printOptions horizontalCentered="1" verticalCentered="1"/>
  <pageMargins left="0.78740157480314965" right="0.59055118110236227" top="0.78740157480314965" bottom="0.39370078740157483" header="0" footer="0"/>
  <pageSetup paperSize="9" scale="51" orientation="portrait" horizontalDpi="4294967294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2:AR803"/>
  <sheetViews>
    <sheetView showGridLines="0" showZeros="0" view="pageBreakPreview" zoomScale="60" zoomScaleNormal="67" zoomScaleSheetLayoutView="67" workbookViewId="0">
      <selection activeCell="AB70" sqref="AB70:AI73"/>
    </sheetView>
  </sheetViews>
  <sheetFormatPr defaultColWidth="3.7109375" defaultRowHeight="18" customHeight="1"/>
  <cols>
    <col min="1" max="2" width="9.140625" style="7" customWidth="1"/>
    <col min="3" max="5" width="5.42578125" style="7" customWidth="1"/>
    <col min="6" max="20" width="3.7109375" style="7" customWidth="1"/>
    <col min="21" max="21" width="3.42578125" style="7" customWidth="1"/>
    <col min="22" max="29" width="3.7109375" style="7" customWidth="1"/>
    <col min="30" max="30" width="3.5703125" style="7" customWidth="1"/>
    <col min="31" max="31" width="4.7109375" style="7" customWidth="1"/>
    <col min="32" max="32" width="3.85546875" style="7" customWidth="1"/>
    <col min="33" max="33" width="4.28515625" style="7" customWidth="1"/>
    <col min="34" max="36" width="3.85546875" style="7" customWidth="1"/>
    <col min="37" max="40" width="3.42578125" style="7" customWidth="1"/>
    <col min="41" max="16384" width="3.7109375" style="7"/>
  </cols>
  <sheetData>
    <row r="2" spans="3:44" ht="18" customHeight="1">
      <c r="C2" s="850" t="s">
        <v>64</v>
      </c>
      <c r="D2" s="851"/>
      <c r="E2" s="851"/>
      <c r="F2" s="851"/>
      <c r="G2" s="851"/>
      <c r="H2" s="851"/>
      <c r="I2" s="851"/>
      <c r="J2" s="851"/>
      <c r="K2" s="851"/>
      <c r="L2" s="851"/>
      <c r="M2" s="851"/>
      <c r="N2" s="851"/>
      <c r="O2" s="851"/>
      <c r="P2" s="851"/>
      <c r="Q2" s="851"/>
      <c r="R2" s="851"/>
      <c r="S2" s="851"/>
      <c r="T2" s="851"/>
      <c r="U2" s="851"/>
      <c r="V2" s="851"/>
      <c r="W2" s="851"/>
      <c r="X2" s="851"/>
      <c r="Y2" s="851"/>
      <c r="Z2" s="851"/>
      <c r="AA2" s="851"/>
      <c r="AB2" s="851"/>
      <c r="AC2" s="851"/>
      <c r="AD2" s="851"/>
      <c r="AE2" s="851"/>
      <c r="AF2" s="851"/>
      <c r="AG2" s="851"/>
      <c r="AH2" s="851"/>
      <c r="AI2" s="851"/>
      <c r="AJ2" s="851"/>
      <c r="AK2" s="851"/>
      <c r="AL2" s="851"/>
      <c r="AM2" s="851"/>
      <c r="AN2" s="851"/>
      <c r="AO2" s="851"/>
      <c r="AP2" s="851"/>
      <c r="AQ2" s="851"/>
      <c r="AR2" s="852"/>
    </row>
    <row r="3" spans="3:44" ht="18" customHeight="1">
      <c r="C3" s="853"/>
      <c r="D3" s="854"/>
      <c r="E3" s="854"/>
      <c r="F3" s="854"/>
      <c r="G3" s="854"/>
      <c r="H3" s="854"/>
      <c r="I3" s="854"/>
      <c r="J3" s="854"/>
      <c r="K3" s="854"/>
      <c r="L3" s="854"/>
      <c r="M3" s="854"/>
      <c r="N3" s="854"/>
      <c r="O3" s="854"/>
      <c r="P3" s="854"/>
      <c r="Q3" s="854"/>
      <c r="R3" s="854"/>
      <c r="S3" s="854"/>
      <c r="T3" s="854"/>
      <c r="U3" s="854"/>
      <c r="V3" s="854"/>
      <c r="W3" s="854"/>
      <c r="X3" s="854"/>
      <c r="Y3" s="854"/>
      <c r="Z3" s="854"/>
      <c r="AA3" s="854"/>
      <c r="AB3" s="854"/>
      <c r="AC3" s="854"/>
      <c r="AD3" s="854"/>
      <c r="AE3" s="854"/>
      <c r="AF3" s="854"/>
      <c r="AG3" s="854"/>
      <c r="AH3" s="854"/>
      <c r="AI3" s="854"/>
      <c r="AJ3" s="854"/>
      <c r="AK3" s="854"/>
      <c r="AL3" s="854"/>
      <c r="AM3" s="854"/>
      <c r="AN3" s="854"/>
      <c r="AO3" s="854"/>
      <c r="AP3" s="854"/>
      <c r="AQ3" s="854"/>
      <c r="AR3" s="855"/>
    </row>
    <row r="4" spans="3:44" ht="18" customHeight="1">
      <c r="C4" s="856" t="s">
        <v>65</v>
      </c>
      <c r="D4" s="857"/>
      <c r="E4" s="857"/>
      <c r="F4" s="857"/>
      <c r="G4" s="860" t="s">
        <v>466</v>
      </c>
      <c r="H4" s="860"/>
      <c r="I4" s="860"/>
      <c r="J4" s="861"/>
      <c r="K4" s="864" t="s">
        <v>66</v>
      </c>
      <c r="L4" s="865"/>
      <c r="M4" s="865"/>
      <c r="N4" s="865"/>
      <c r="O4" s="522" t="s">
        <v>467</v>
      </c>
      <c r="P4" s="523"/>
      <c r="Q4" s="523"/>
      <c r="R4" s="523"/>
      <c r="S4" s="523"/>
      <c r="T4" s="523"/>
      <c r="U4" s="523"/>
      <c r="V4" s="523"/>
      <c r="W4" s="523"/>
      <c r="X4" s="523"/>
      <c r="Y4" s="523"/>
      <c r="Z4" s="523"/>
      <c r="AA4" s="523"/>
      <c r="AB4" s="523"/>
      <c r="AC4" s="523"/>
      <c r="AD4" s="523"/>
      <c r="AE4" s="523"/>
      <c r="AF4" s="523"/>
      <c r="AG4" s="523"/>
      <c r="AH4" s="523"/>
      <c r="AI4" s="523"/>
      <c r="AJ4" s="523"/>
      <c r="AK4" s="523"/>
      <c r="AL4" s="864" t="s">
        <v>67</v>
      </c>
      <c r="AM4" s="865"/>
      <c r="AN4" s="865"/>
      <c r="AO4" s="865"/>
      <c r="AP4" s="843" t="s">
        <v>246</v>
      </c>
      <c r="AQ4" s="843"/>
      <c r="AR4" s="844"/>
    </row>
    <row r="5" spans="3:44" ht="18" customHeight="1">
      <c r="C5" s="858"/>
      <c r="D5" s="859"/>
      <c r="E5" s="859"/>
      <c r="F5" s="859"/>
      <c r="G5" s="862"/>
      <c r="H5" s="862"/>
      <c r="I5" s="862"/>
      <c r="J5" s="863"/>
      <c r="K5" s="866"/>
      <c r="L5" s="867"/>
      <c r="M5" s="867"/>
      <c r="N5" s="867"/>
      <c r="O5" s="524"/>
      <c r="P5" s="525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  <c r="AC5" s="525"/>
      <c r="AD5" s="525"/>
      <c r="AE5" s="525"/>
      <c r="AF5" s="525"/>
      <c r="AG5" s="525"/>
      <c r="AH5" s="525"/>
      <c r="AI5" s="525"/>
      <c r="AJ5" s="525"/>
      <c r="AK5" s="525"/>
      <c r="AL5" s="866"/>
      <c r="AM5" s="867"/>
      <c r="AN5" s="867"/>
      <c r="AO5" s="867"/>
      <c r="AP5" s="845"/>
      <c r="AQ5" s="845"/>
      <c r="AR5" s="846"/>
    </row>
    <row r="7" spans="3:44" ht="18" customHeight="1">
      <c r="C7" s="794" t="s">
        <v>43</v>
      </c>
      <c r="D7" s="774"/>
      <c r="E7" s="775"/>
      <c r="F7" s="773" t="s">
        <v>68</v>
      </c>
      <c r="G7" s="774"/>
      <c r="H7" s="774"/>
      <c r="I7" s="774"/>
      <c r="J7" s="774"/>
      <c r="K7" s="774"/>
      <c r="L7" s="774"/>
      <c r="M7" s="774"/>
      <c r="N7" s="774"/>
      <c r="O7" s="774"/>
      <c r="P7" s="774"/>
      <c r="Q7" s="774"/>
      <c r="R7" s="774"/>
      <c r="S7" s="774"/>
      <c r="T7" s="774"/>
      <c r="U7" s="775"/>
      <c r="V7" s="773" t="s">
        <v>249</v>
      </c>
      <c r="W7" s="774"/>
      <c r="X7" s="775"/>
      <c r="Y7" s="847" t="s">
        <v>69</v>
      </c>
      <c r="Z7" s="848"/>
      <c r="AA7" s="848"/>
      <c r="AB7" s="848"/>
      <c r="AC7" s="848"/>
      <c r="AD7" s="848"/>
      <c r="AE7" s="848"/>
      <c r="AF7" s="849"/>
      <c r="AG7" s="847" t="s">
        <v>70</v>
      </c>
      <c r="AH7" s="848"/>
      <c r="AI7" s="848"/>
      <c r="AJ7" s="848"/>
      <c r="AK7" s="848"/>
      <c r="AL7" s="848"/>
      <c r="AM7" s="848"/>
      <c r="AN7" s="849"/>
      <c r="AO7" s="773" t="s">
        <v>71</v>
      </c>
      <c r="AP7" s="774"/>
      <c r="AQ7" s="774"/>
      <c r="AR7" s="779"/>
    </row>
    <row r="8" spans="3:44" ht="18" customHeight="1">
      <c r="C8" s="795"/>
      <c r="D8" s="777"/>
      <c r="E8" s="778"/>
      <c r="F8" s="776"/>
      <c r="G8" s="777"/>
      <c r="H8" s="777"/>
      <c r="I8" s="777"/>
      <c r="J8" s="777"/>
      <c r="K8" s="777"/>
      <c r="L8" s="777"/>
      <c r="M8" s="777"/>
      <c r="N8" s="777"/>
      <c r="O8" s="777"/>
      <c r="P8" s="777"/>
      <c r="Q8" s="777"/>
      <c r="R8" s="777"/>
      <c r="S8" s="777"/>
      <c r="T8" s="777"/>
      <c r="U8" s="778"/>
      <c r="V8" s="776"/>
      <c r="W8" s="777"/>
      <c r="X8" s="778"/>
      <c r="Y8" s="834" t="s">
        <v>72</v>
      </c>
      <c r="Z8" s="835"/>
      <c r="AA8" s="835"/>
      <c r="AB8" s="836"/>
      <c r="AC8" s="834" t="s">
        <v>73</v>
      </c>
      <c r="AD8" s="835"/>
      <c r="AE8" s="835"/>
      <c r="AF8" s="836"/>
      <c r="AG8" s="834" t="s">
        <v>72</v>
      </c>
      <c r="AH8" s="835"/>
      <c r="AI8" s="835"/>
      <c r="AJ8" s="836"/>
      <c r="AK8" s="834" t="s">
        <v>73</v>
      </c>
      <c r="AL8" s="835"/>
      <c r="AM8" s="835"/>
      <c r="AN8" s="836"/>
      <c r="AO8" s="776"/>
      <c r="AP8" s="777"/>
      <c r="AQ8" s="777"/>
      <c r="AR8" s="780"/>
    </row>
    <row r="9" spans="3:44" ht="18" customHeight="1">
      <c r="C9" s="781" t="s">
        <v>1379</v>
      </c>
      <c r="D9" s="782"/>
      <c r="E9" s="783"/>
      <c r="F9" s="493" t="s">
        <v>468</v>
      </c>
      <c r="G9" s="493"/>
      <c r="H9" s="493"/>
      <c r="I9" s="493"/>
      <c r="J9" s="493"/>
      <c r="K9" s="493"/>
      <c r="L9" s="493"/>
      <c r="M9" s="493"/>
      <c r="N9" s="493"/>
      <c r="O9" s="493"/>
      <c r="P9" s="493"/>
      <c r="Q9" s="493"/>
      <c r="R9" s="493"/>
      <c r="S9" s="493"/>
      <c r="T9" s="493"/>
      <c r="U9" s="493"/>
      <c r="V9" s="837">
        <v>1</v>
      </c>
      <c r="W9" s="838"/>
      <c r="X9" s="839"/>
      <c r="Y9" s="837">
        <v>1</v>
      </c>
      <c r="Z9" s="838"/>
      <c r="AA9" s="838"/>
      <c r="AB9" s="839"/>
      <c r="AC9" s="868">
        <f>1-Y9</f>
        <v>0</v>
      </c>
      <c r="AD9" s="869"/>
      <c r="AE9" s="869"/>
      <c r="AF9" s="870"/>
      <c r="AG9" s="491">
        <f>VLOOKUP(C9,[4]EQUIPAMENTOS!A$1:D$65536,3,FALSE)</f>
        <v>3.1082000000000001</v>
      </c>
      <c r="AH9" s="491"/>
      <c r="AI9" s="491"/>
      <c r="AJ9" s="491"/>
      <c r="AK9" s="491">
        <f>VLOOKUP(C9,[4]EQUIPAMENTOS!A$1:D$65536,4,FALSE)</f>
        <v>0</v>
      </c>
      <c r="AL9" s="491"/>
      <c r="AM9" s="491"/>
      <c r="AN9" s="491"/>
      <c r="AO9" s="491">
        <f>ROUND((Y9*AG9+AC9*AK9)*V9,2)</f>
        <v>3.11</v>
      </c>
      <c r="AP9" s="491"/>
      <c r="AQ9" s="491"/>
      <c r="AR9" s="492"/>
    </row>
    <row r="10" spans="3:44" ht="18" customHeight="1">
      <c r="C10" s="758"/>
      <c r="D10" s="759"/>
      <c r="E10" s="760"/>
      <c r="F10" s="493"/>
      <c r="G10" s="493"/>
      <c r="H10" s="493"/>
      <c r="I10" s="493"/>
      <c r="J10" s="493"/>
      <c r="K10" s="493"/>
      <c r="L10" s="493"/>
      <c r="M10" s="493"/>
      <c r="N10" s="493"/>
      <c r="O10" s="493"/>
      <c r="P10" s="493"/>
      <c r="Q10" s="493"/>
      <c r="R10" s="493"/>
      <c r="S10" s="493"/>
      <c r="T10" s="493"/>
      <c r="U10" s="493"/>
      <c r="V10" s="466"/>
      <c r="W10" s="467"/>
      <c r="X10" s="468"/>
      <c r="Y10" s="466"/>
      <c r="Z10" s="467"/>
      <c r="AA10" s="467"/>
      <c r="AB10" s="468"/>
      <c r="AC10" s="828"/>
      <c r="AD10" s="829"/>
      <c r="AE10" s="829"/>
      <c r="AF10" s="830"/>
      <c r="AG10" s="491"/>
      <c r="AH10" s="491"/>
      <c r="AI10" s="491"/>
      <c r="AJ10" s="491"/>
      <c r="AK10" s="491"/>
      <c r="AL10" s="491"/>
      <c r="AM10" s="491"/>
      <c r="AN10" s="491"/>
      <c r="AO10" s="491"/>
      <c r="AP10" s="491"/>
      <c r="AQ10" s="491"/>
      <c r="AR10" s="492"/>
    </row>
    <row r="11" spans="3:44" ht="18" customHeight="1">
      <c r="C11" s="758"/>
      <c r="D11" s="759"/>
      <c r="E11" s="760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3"/>
      <c r="Q11" s="493"/>
      <c r="R11" s="493"/>
      <c r="S11" s="493"/>
      <c r="T11" s="493"/>
      <c r="U11" s="493"/>
      <c r="V11" s="466"/>
      <c r="W11" s="467"/>
      <c r="X11" s="468"/>
      <c r="Y11" s="466"/>
      <c r="Z11" s="467"/>
      <c r="AA11" s="467"/>
      <c r="AB11" s="468"/>
      <c r="AC11" s="828"/>
      <c r="AD11" s="829"/>
      <c r="AE11" s="829"/>
      <c r="AF11" s="830"/>
      <c r="AG11" s="491"/>
      <c r="AH11" s="491"/>
      <c r="AI11" s="491"/>
      <c r="AJ11" s="491"/>
      <c r="AK11" s="491"/>
      <c r="AL11" s="491"/>
      <c r="AM11" s="491"/>
      <c r="AN11" s="491"/>
      <c r="AO11" s="491"/>
      <c r="AP11" s="491"/>
      <c r="AQ11" s="491"/>
      <c r="AR11" s="492"/>
    </row>
    <row r="12" spans="3:44" ht="18" customHeight="1">
      <c r="C12" s="758"/>
      <c r="D12" s="759"/>
      <c r="E12" s="760"/>
      <c r="F12" s="493"/>
      <c r="G12" s="493"/>
      <c r="H12" s="493"/>
      <c r="I12" s="493"/>
      <c r="J12" s="493"/>
      <c r="K12" s="493"/>
      <c r="L12" s="493"/>
      <c r="M12" s="493"/>
      <c r="N12" s="493"/>
      <c r="O12" s="493"/>
      <c r="P12" s="493"/>
      <c r="Q12" s="493"/>
      <c r="R12" s="493"/>
      <c r="S12" s="493"/>
      <c r="T12" s="493"/>
      <c r="U12" s="493"/>
      <c r="V12" s="466"/>
      <c r="W12" s="467"/>
      <c r="X12" s="468"/>
      <c r="Y12" s="466"/>
      <c r="Z12" s="467"/>
      <c r="AA12" s="467"/>
      <c r="AB12" s="468"/>
      <c r="AC12" s="828"/>
      <c r="AD12" s="829"/>
      <c r="AE12" s="829"/>
      <c r="AF12" s="830"/>
      <c r="AG12" s="491"/>
      <c r="AH12" s="491"/>
      <c r="AI12" s="491"/>
      <c r="AJ12" s="491"/>
      <c r="AK12" s="491"/>
      <c r="AL12" s="491"/>
      <c r="AM12" s="491"/>
      <c r="AN12" s="491"/>
      <c r="AO12" s="491"/>
      <c r="AP12" s="491"/>
      <c r="AQ12" s="491"/>
      <c r="AR12" s="492"/>
    </row>
    <row r="13" spans="3:44" ht="18" customHeight="1">
      <c r="C13" s="758"/>
      <c r="D13" s="759"/>
      <c r="E13" s="760"/>
      <c r="F13" s="493"/>
      <c r="G13" s="493"/>
      <c r="H13" s="493"/>
      <c r="I13" s="493"/>
      <c r="J13" s="493"/>
      <c r="K13" s="493"/>
      <c r="L13" s="493"/>
      <c r="M13" s="493"/>
      <c r="N13" s="493"/>
      <c r="O13" s="493"/>
      <c r="P13" s="493"/>
      <c r="Q13" s="493"/>
      <c r="R13" s="493"/>
      <c r="S13" s="493"/>
      <c r="T13" s="493"/>
      <c r="U13" s="493"/>
      <c r="V13" s="466"/>
      <c r="W13" s="467"/>
      <c r="X13" s="468"/>
      <c r="Y13" s="466"/>
      <c r="Z13" s="467"/>
      <c r="AA13" s="467"/>
      <c r="AB13" s="468"/>
      <c r="AC13" s="828"/>
      <c r="AD13" s="829"/>
      <c r="AE13" s="829"/>
      <c r="AF13" s="830"/>
      <c r="AG13" s="491"/>
      <c r="AH13" s="491"/>
      <c r="AI13" s="491"/>
      <c r="AJ13" s="491"/>
      <c r="AK13" s="491"/>
      <c r="AL13" s="491"/>
      <c r="AM13" s="491"/>
      <c r="AN13" s="491"/>
      <c r="AO13" s="491"/>
      <c r="AP13" s="491"/>
      <c r="AQ13" s="491"/>
      <c r="AR13" s="492"/>
    </row>
    <row r="14" spans="3:44" ht="18" customHeight="1">
      <c r="C14" s="758"/>
      <c r="D14" s="759"/>
      <c r="E14" s="760"/>
      <c r="F14" s="493"/>
      <c r="G14" s="493"/>
      <c r="H14" s="493"/>
      <c r="I14" s="493"/>
      <c r="J14" s="493"/>
      <c r="K14" s="493"/>
      <c r="L14" s="493"/>
      <c r="M14" s="493"/>
      <c r="N14" s="493"/>
      <c r="O14" s="493"/>
      <c r="P14" s="493"/>
      <c r="Q14" s="493"/>
      <c r="R14" s="493"/>
      <c r="S14" s="493"/>
      <c r="T14" s="493"/>
      <c r="U14" s="493"/>
      <c r="V14" s="466"/>
      <c r="W14" s="467"/>
      <c r="X14" s="468"/>
      <c r="Y14" s="466"/>
      <c r="Z14" s="467"/>
      <c r="AA14" s="467"/>
      <c r="AB14" s="468"/>
      <c r="AC14" s="828"/>
      <c r="AD14" s="829"/>
      <c r="AE14" s="829"/>
      <c r="AF14" s="830"/>
      <c r="AG14" s="491"/>
      <c r="AH14" s="491"/>
      <c r="AI14" s="491"/>
      <c r="AJ14" s="491"/>
      <c r="AK14" s="491"/>
      <c r="AL14" s="491"/>
      <c r="AM14" s="491"/>
      <c r="AN14" s="491"/>
      <c r="AO14" s="491"/>
      <c r="AP14" s="491"/>
      <c r="AQ14" s="491"/>
      <c r="AR14" s="492"/>
    </row>
    <row r="15" spans="3:44" ht="18" customHeight="1">
      <c r="C15" s="758"/>
      <c r="D15" s="759"/>
      <c r="E15" s="760"/>
      <c r="F15" s="796"/>
      <c r="G15" s="797"/>
      <c r="H15" s="797"/>
      <c r="I15" s="797"/>
      <c r="J15" s="797"/>
      <c r="K15" s="797"/>
      <c r="L15" s="797"/>
      <c r="M15" s="797"/>
      <c r="N15" s="797"/>
      <c r="O15" s="797"/>
      <c r="P15" s="797"/>
      <c r="Q15" s="797"/>
      <c r="R15" s="797"/>
      <c r="S15" s="797"/>
      <c r="T15" s="797"/>
      <c r="U15" s="798"/>
      <c r="V15" s="466"/>
      <c r="W15" s="467"/>
      <c r="X15" s="468"/>
      <c r="Y15" s="466"/>
      <c r="Z15" s="467"/>
      <c r="AA15" s="467"/>
      <c r="AB15" s="468"/>
      <c r="AC15" s="828"/>
      <c r="AD15" s="829"/>
      <c r="AE15" s="829"/>
      <c r="AF15" s="830"/>
      <c r="AG15" s="466"/>
      <c r="AH15" s="467"/>
      <c r="AI15" s="467"/>
      <c r="AJ15" s="468"/>
      <c r="AK15" s="466"/>
      <c r="AL15" s="467"/>
      <c r="AM15" s="467"/>
      <c r="AN15" s="468"/>
      <c r="AO15" s="466"/>
      <c r="AP15" s="467"/>
      <c r="AQ15" s="467"/>
      <c r="AR15" s="823"/>
    </row>
    <row r="16" spans="3:44" ht="18" customHeight="1">
      <c r="C16" s="758"/>
      <c r="D16" s="759"/>
      <c r="E16" s="760"/>
      <c r="F16" s="796"/>
      <c r="G16" s="797"/>
      <c r="H16" s="797"/>
      <c r="I16" s="797"/>
      <c r="J16" s="797"/>
      <c r="K16" s="797"/>
      <c r="L16" s="797"/>
      <c r="M16" s="797"/>
      <c r="N16" s="797"/>
      <c r="O16" s="797"/>
      <c r="P16" s="797"/>
      <c r="Q16" s="797"/>
      <c r="R16" s="797"/>
      <c r="S16" s="797"/>
      <c r="T16" s="797"/>
      <c r="U16" s="798"/>
      <c r="V16" s="466"/>
      <c r="W16" s="467"/>
      <c r="X16" s="468"/>
      <c r="Y16" s="466"/>
      <c r="Z16" s="467"/>
      <c r="AA16" s="467"/>
      <c r="AB16" s="468"/>
      <c r="AC16" s="828"/>
      <c r="AD16" s="829"/>
      <c r="AE16" s="829"/>
      <c r="AF16" s="830"/>
      <c r="AG16" s="466"/>
      <c r="AH16" s="467"/>
      <c r="AI16" s="467"/>
      <c r="AJ16" s="468"/>
      <c r="AK16" s="466"/>
      <c r="AL16" s="467"/>
      <c r="AM16" s="467"/>
      <c r="AN16" s="468"/>
      <c r="AO16" s="466"/>
      <c r="AP16" s="467"/>
      <c r="AQ16" s="467"/>
      <c r="AR16" s="823"/>
    </row>
    <row r="17" spans="3:44" ht="18" customHeight="1">
      <c r="C17" s="743"/>
      <c r="D17" s="744"/>
      <c r="E17" s="744"/>
      <c r="F17" s="744"/>
      <c r="G17" s="744"/>
      <c r="H17" s="744"/>
      <c r="I17" s="744"/>
      <c r="J17" s="744"/>
      <c r="K17" s="744"/>
      <c r="L17" s="744"/>
      <c r="M17" s="744"/>
      <c r="N17" s="744"/>
      <c r="O17" s="744"/>
      <c r="P17" s="744"/>
      <c r="Q17" s="744"/>
      <c r="R17" s="744"/>
      <c r="S17" s="744"/>
      <c r="T17" s="744"/>
      <c r="U17" s="744"/>
      <c r="V17" s="744"/>
      <c r="W17" s="744"/>
      <c r="X17" s="824"/>
      <c r="Y17" s="825" t="s">
        <v>74</v>
      </c>
      <c r="Z17" s="826"/>
      <c r="AA17" s="826"/>
      <c r="AB17" s="826"/>
      <c r="AC17" s="826"/>
      <c r="AD17" s="826"/>
      <c r="AE17" s="826"/>
      <c r="AF17" s="826"/>
      <c r="AG17" s="826"/>
      <c r="AH17" s="826"/>
      <c r="AI17" s="826"/>
      <c r="AJ17" s="826"/>
      <c r="AK17" s="826"/>
      <c r="AL17" s="826"/>
      <c r="AM17" s="826"/>
      <c r="AN17" s="827"/>
      <c r="AO17" s="477">
        <f>SUM(AO9:AR16)</f>
        <v>3.11</v>
      </c>
      <c r="AP17" s="746"/>
      <c r="AQ17" s="746"/>
      <c r="AR17" s="747"/>
    </row>
    <row r="19" spans="3:44" ht="18" customHeight="1">
      <c r="C19" s="794" t="s">
        <v>43</v>
      </c>
      <c r="D19" s="774"/>
      <c r="E19" s="775"/>
      <c r="F19" s="773" t="s">
        <v>75</v>
      </c>
      <c r="G19" s="774"/>
      <c r="H19" s="774"/>
      <c r="I19" s="774"/>
      <c r="J19" s="774"/>
      <c r="K19" s="774"/>
      <c r="L19" s="774"/>
      <c r="M19" s="774"/>
      <c r="N19" s="774"/>
      <c r="O19" s="774"/>
      <c r="P19" s="774"/>
      <c r="Q19" s="774"/>
      <c r="R19" s="774"/>
      <c r="S19" s="774"/>
      <c r="T19" s="774"/>
      <c r="U19" s="774"/>
      <c r="V19" s="774"/>
      <c r="W19" s="774"/>
      <c r="X19" s="774"/>
      <c r="Y19" s="774"/>
      <c r="Z19" s="774"/>
      <c r="AA19" s="774"/>
      <c r="AB19" s="775"/>
      <c r="AC19" s="773" t="s">
        <v>76</v>
      </c>
      <c r="AD19" s="774"/>
      <c r="AE19" s="774"/>
      <c r="AF19" s="775"/>
      <c r="AG19" s="773" t="s">
        <v>249</v>
      </c>
      <c r="AH19" s="774"/>
      <c r="AI19" s="774"/>
      <c r="AJ19" s="775"/>
      <c r="AK19" s="773" t="s">
        <v>77</v>
      </c>
      <c r="AL19" s="774"/>
      <c r="AM19" s="774"/>
      <c r="AN19" s="775"/>
      <c r="AO19" s="773" t="s">
        <v>71</v>
      </c>
      <c r="AP19" s="774"/>
      <c r="AQ19" s="774"/>
      <c r="AR19" s="779"/>
    </row>
    <row r="20" spans="3:44" ht="18" customHeight="1">
      <c r="C20" s="795"/>
      <c r="D20" s="777"/>
      <c r="E20" s="778"/>
      <c r="F20" s="776"/>
      <c r="G20" s="777"/>
      <c r="H20" s="777"/>
      <c r="I20" s="777"/>
      <c r="J20" s="777"/>
      <c r="K20" s="777"/>
      <c r="L20" s="777"/>
      <c r="M20" s="777"/>
      <c r="N20" s="777"/>
      <c r="O20" s="777"/>
      <c r="P20" s="777"/>
      <c r="Q20" s="777"/>
      <c r="R20" s="777"/>
      <c r="S20" s="777"/>
      <c r="T20" s="777"/>
      <c r="U20" s="777"/>
      <c r="V20" s="777"/>
      <c r="W20" s="777"/>
      <c r="X20" s="777"/>
      <c r="Y20" s="777"/>
      <c r="Z20" s="777"/>
      <c r="AA20" s="777"/>
      <c r="AB20" s="778"/>
      <c r="AC20" s="776"/>
      <c r="AD20" s="777"/>
      <c r="AE20" s="777"/>
      <c r="AF20" s="778"/>
      <c r="AG20" s="776"/>
      <c r="AH20" s="777"/>
      <c r="AI20" s="777"/>
      <c r="AJ20" s="778"/>
      <c r="AK20" s="776"/>
      <c r="AL20" s="777"/>
      <c r="AM20" s="777"/>
      <c r="AN20" s="778"/>
      <c r="AO20" s="776"/>
      <c r="AP20" s="777"/>
      <c r="AQ20" s="777"/>
      <c r="AR20" s="780"/>
    </row>
    <row r="21" spans="3:44" ht="18" customHeight="1">
      <c r="C21" s="781" t="s">
        <v>940</v>
      </c>
      <c r="D21" s="782"/>
      <c r="E21" s="783"/>
      <c r="F21" s="493" t="s">
        <v>105</v>
      </c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770"/>
      <c r="AD21" s="771"/>
      <c r="AE21" s="771"/>
      <c r="AF21" s="790"/>
      <c r="AG21" s="770">
        <v>1</v>
      </c>
      <c r="AH21" s="771"/>
      <c r="AI21" s="771"/>
      <c r="AJ21" s="790"/>
      <c r="AK21" s="449">
        <f>VLOOKUP(C21,[4]MÃODEOBRA!A$1:D$65536,4,FALSE)</f>
        <v>22.98488</v>
      </c>
      <c r="AL21" s="449"/>
      <c r="AM21" s="449"/>
      <c r="AN21" s="449"/>
      <c r="AO21" s="491">
        <f>ROUND(AG21*AK21,2)</f>
        <v>22.98</v>
      </c>
      <c r="AP21" s="491"/>
      <c r="AQ21" s="491"/>
      <c r="AR21" s="492"/>
    </row>
    <row r="22" spans="3:44" ht="18" customHeight="1">
      <c r="C22" s="758" t="s">
        <v>1380</v>
      </c>
      <c r="D22" s="759"/>
      <c r="E22" s="760"/>
      <c r="F22" s="493" t="s">
        <v>469</v>
      </c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740"/>
      <c r="AD22" s="741"/>
      <c r="AE22" s="741"/>
      <c r="AF22" s="757"/>
      <c r="AG22" s="740">
        <v>1</v>
      </c>
      <c r="AH22" s="741"/>
      <c r="AI22" s="741"/>
      <c r="AJ22" s="757"/>
      <c r="AK22" s="449">
        <f>VLOOKUP(C22,[4]MÃODEOBRA!A$1:D$65536,4,FALSE)</f>
        <v>11.156079999999999</v>
      </c>
      <c r="AL22" s="449"/>
      <c r="AM22" s="449"/>
      <c r="AN22" s="449"/>
      <c r="AO22" s="491">
        <f>ROUND(AG22*AK22,2)</f>
        <v>11.16</v>
      </c>
      <c r="AP22" s="491"/>
      <c r="AQ22" s="491"/>
      <c r="AR22" s="492"/>
    </row>
    <row r="23" spans="3:44" ht="18" customHeight="1">
      <c r="C23" s="758" t="s">
        <v>943</v>
      </c>
      <c r="D23" s="759"/>
      <c r="E23" s="760"/>
      <c r="F23" s="796" t="s">
        <v>128</v>
      </c>
      <c r="G23" s="797"/>
      <c r="H23" s="797"/>
      <c r="I23" s="797"/>
      <c r="J23" s="797"/>
      <c r="K23" s="797"/>
      <c r="L23" s="797"/>
      <c r="M23" s="797"/>
      <c r="N23" s="797"/>
      <c r="O23" s="797"/>
      <c r="P23" s="797"/>
      <c r="Q23" s="797"/>
      <c r="R23" s="797"/>
      <c r="S23" s="797"/>
      <c r="T23" s="797"/>
      <c r="U23" s="797"/>
      <c r="V23" s="797"/>
      <c r="W23" s="797"/>
      <c r="X23" s="797"/>
      <c r="Y23" s="797"/>
      <c r="Z23" s="797"/>
      <c r="AA23" s="797"/>
      <c r="AB23" s="798"/>
      <c r="AC23" s="740"/>
      <c r="AD23" s="741"/>
      <c r="AE23" s="741"/>
      <c r="AF23" s="757"/>
      <c r="AG23" s="740">
        <v>2</v>
      </c>
      <c r="AH23" s="741"/>
      <c r="AI23" s="741"/>
      <c r="AJ23" s="757"/>
      <c r="AK23" s="449">
        <f>VLOOKUP(C23,[4]MÃODEOBRA!A$1:D$65536,4,FALSE)</f>
        <v>8.6333500000000001</v>
      </c>
      <c r="AL23" s="449"/>
      <c r="AM23" s="449"/>
      <c r="AN23" s="449"/>
      <c r="AO23" s="491">
        <f>ROUND(AG23*AK23,2)</f>
        <v>17.27</v>
      </c>
      <c r="AP23" s="491"/>
      <c r="AQ23" s="491"/>
      <c r="AR23" s="492"/>
    </row>
    <row r="24" spans="3:44" ht="18" customHeight="1">
      <c r="C24" s="758"/>
      <c r="D24" s="759"/>
      <c r="E24" s="760"/>
      <c r="F24" s="796"/>
      <c r="G24" s="797"/>
      <c r="H24" s="797"/>
      <c r="I24" s="797"/>
      <c r="J24" s="797"/>
      <c r="K24" s="797"/>
      <c r="L24" s="797"/>
      <c r="M24" s="797"/>
      <c r="N24" s="797"/>
      <c r="O24" s="797"/>
      <c r="P24" s="797"/>
      <c r="Q24" s="797"/>
      <c r="R24" s="797"/>
      <c r="S24" s="797"/>
      <c r="T24" s="797"/>
      <c r="U24" s="797"/>
      <c r="V24" s="797"/>
      <c r="W24" s="797"/>
      <c r="X24" s="797"/>
      <c r="Y24" s="797"/>
      <c r="Z24" s="797"/>
      <c r="AA24" s="797"/>
      <c r="AB24" s="798"/>
      <c r="AC24" s="740"/>
      <c r="AD24" s="741"/>
      <c r="AE24" s="741"/>
      <c r="AF24" s="757"/>
      <c r="AG24" s="740"/>
      <c r="AH24" s="741"/>
      <c r="AI24" s="741"/>
      <c r="AJ24" s="757"/>
      <c r="AK24" s="740"/>
      <c r="AL24" s="741"/>
      <c r="AM24" s="741"/>
      <c r="AN24" s="757"/>
      <c r="AO24" s="466"/>
      <c r="AP24" s="467"/>
      <c r="AQ24" s="467"/>
      <c r="AR24" s="823"/>
    </row>
    <row r="25" spans="3:44" ht="18" customHeight="1">
      <c r="C25" s="758"/>
      <c r="D25" s="759"/>
      <c r="E25" s="760"/>
      <c r="F25" s="796"/>
      <c r="G25" s="797"/>
      <c r="H25" s="797"/>
      <c r="I25" s="797"/>
      <c r="J25" s="797"/>
      <c r="K25" s="797"/>
      <c r="L25" s="797"/>
      <c r="M25" s="797"/>
      <c r="N25" s="797"/>
      <c r="O25" s="797"/>
      <c r="P25" s="797"/>
      <c r="Q25" s="797"/>
      <c r="R25" s="797"/>
      <c r="S25" s="797"/>
      <c r="T25" s="797"/>
      <c r="U25" s="797"/>
      <c r="V25" s="797"/>
      <c r="W25" s="797"/>
      <c r="X25" s="797"/>
      <c r="Y25" s="797"/>
      <c r="Z25" s="797"/>
      <c r="AA25" s="797"/>
      <c r="AB25" s="798"/>
      <c r="AC25" s="740"/>
      <c r="AD25" s="741"/>
      <c r="AE25" s="741"/>
      <c r="AF25" s="757"/>
      <c r="AG25" s="740"/>
      <c r="AH25" s="741"/>
      <c r="AI25" s="741"/>
      <c r="AJ25" s="757"/>
      <c r="AK25" s="740"/>
      <c r="AL25" s="741"/>
      <c r="AM25" s="741"/>
      <c r="AN25" s="757"/>
      <c r="AO25" s="466"/>
      <c r="AP25" s="467"/>
      <c r="AQ25" s="467"/>
      <c r="AR25" s="823"/>
    </row>
    <row r="26" spans="3:44" ht="18" customHeight="1">
      <c r="C26" s="758"/>
      <c r="D26" s="759"/>
      <c r="E26" s="760"/>
      <c r="F26" s="796"/>
      <c r="G26" s="797"/>
      <c r="H26" s="797"/>
      <c r="I26" s="797"/>
      <c r="J26" s="797"/>
      <c r="K26" s="797"/>
      <c r="L26" s="797"/>
      <c r="M26" s="797"/>
      <c r="N26" s="797"/>
      <c r="O26" s="797"/>
      <c r="P26" s="797"/>
      <c r="Q26" s="797"/>
      <c r="R26" s="797"/>
      <c r="S26" s="797"/>
      <c r="T26" s="797"/>
      <c r="U26" s="797"/>
      <c r="V26" s="797"/>
      <c r="W26" s="797"/>
      <c r="X26" s="797"/>
      <c r="Y26" s="797"/>
      <c r="Z26" s="797"/>
      <c r="AA26" s="797"/>
      <c r="AB26" s="798"/>
      <c r="AC26" s="740"/>
      <c r="AD26" s="741"/>
      <c r="AE26" s="741"/>
      <c r="AF26" s="757"/>
      <c r="AG26" s="740"/>
      <c r="AH26" s="741"/>
      <c r="AI26" s="741"/>
      <c r="AJ26" s="757"/>
      <c r="AK26" s="740"/>
      <c r="AL26" s="741"/>
      <c r="AM26" s="741"/>
      <c r="AN26" s="757"/>
      <c r="AO26" s="466"/>
      <c r="AP26" s="467"/>
      <c r="AQ26" s="467"/>
      <c r="AR26" s="823"/>
    </row>
    <row r="27" spans="3:44" ht="18" customHeight="1">
      <c r="C27" s="758"/>
      <c r="D27" s="759"/>
      <c r="E27" s="760"/>
      <c r="F27" s="796"/>
      <c r="G27" s="797"/>
      <c r="H27" s="797"/>
      <c r="I27" s="797"/>
      <c r="J27" s="797"/>
      <c r="K27" s="797"/>
      <c r="L27" s="797"/>
      <c r="M27" s="797"/>
      <c r="N27" s="797"/>
      <c r="O27" s="797"/>
      <c r="P27" s="797"/>
      <c r="Q27" s="797"/>
      <c r="R27" s="797"/>
      <c r="S27" s="797"/>
      <c r="T27" s="797"/>
      <c r="U27" s="797"/>
      <c r="V27" s="797"/>
      <c r="W27" s="797"/>
      <c r="X27" s="797"/>
      <c r="Y27" s="797"/>
      <c r="Z27" s="797"/>
      <c r="AA27" s="797"/>
      <c r="AB27" s="798"/>
      <c r="AC27" s="740"/>
      <c r="AD27" s="741"/>
      <c r="AE27" s="741"/>
      <c r="AF27" s="757"/>
      <c r="AG27" s="740"/>
      <c r="AH27" s="741"/>
      <c r="AI27" s="741"/>
      <c r="AJ27" s="757"/>
      <c r="AK27" s="740"/>
      <c r="AL27" s="741"/>
      <c r="AM27" s="741"/>
      <c r="AN27" s="757"/>
      <c r="AO27" s="466"/>
      <c r="AP27" s="467"/>
      <c r="AQ27" s="467"/>
      <c r="AR27" s="823"/>
    </row>
    <row r="28" spans="3:44" ht="18" customHeight="1">
      <c r="C28" s="758"/>
      <c r="D28" s="759"/>
      <c r="E28" s="760"/>
      <c r="F28" s="796"/>
      <c r="G28" s="797"/>
      <c r="H28" s="797"/>
      <c r="I28" s="797"/>
      <c r="J28" s="797"/>
      <c r="K28" s="797"/>
      <c r="L28" s="797"/>
      <c r="M28" s="797"/>
      <c r="N28" s="797"/>
      <c r="O28" s="797"/>
      <c r="P28" s="797"/>
      <c r="Q28" s="797"/>
      <c r="R28" s="797"/>
      <c r="S28" s="797"/>
      <c r="T28" s="797"/>
      <c r="U28" s="797"/>
      <c r="V28" s="797"/>
      <c r="W28" s="797"/>
      <c r="X28" s="797"/>
      <c r="Y28" s="797"/>
      <c r="Z28" s="797"/>
      <c r="AA28" s="797"/>
      <c r="AB28" s="798"/>
      <c r="AC28" s="740"/>
      <c r="AD28" s="741"/>
      <c r="AE28" s="741"/>
      <c r="AF28" s="757"/>
      <c r="AG28" s="740"/>
      <c r="AH28" s="741"/>
      <c r="AI28" s="741"/>
      <c r="AJ28" s="757"/>
      <c r="AK28" s="740"/>
      <c r="AL28" s="741"/>
      <c r="AM28" s="741"/>
      <c r="AN28" s="757"/>
      <c r="AO28" s="466"/>
      <c r="AP28" s="467"/>
      <c r="AQ28" s="467"/>
      <c r="AR28" s="823"/>
    </row>
    <row r="29" spans="3:44" ht="18" customHeight="1">
      <c r="C29" s="814"/>
      <c r="D29" s="815"/>
      <c r="E29" s="815"/>
      <c r="F29" s="815"/>
      <c r="G29" s="815"/>
      <c r="H29" s="815"/>
      <c r="I29" s="815"/>
      <c r="J29" s="815"/>
      <c r="K29" s="815"/>
      <c r="L29" s="815"/>
      <c r="M29" s="815"/>
      <c r="N29" s="815"/>
      <c r="O29" s="815"/>
      <c r="P29" s="815"/>
      <c r="Q29" s="815"/>
      <c r="R29" s="815"/>
      <c r="S29" s="815"/>
      <c r="T29" s="815"/>
      <c r="U29" s="815"/>
      <c r="V29" s="815"/>
      <c r="W29" s="815"/>
      <c r="X29" s="815"/>
      <c r="Y29" s="816" t="s">
        <v>78</v>
      </c>
      <c r="Z29" s="816"/>
      <c r="AA29" s="816"/>
      <c r="AB29" s="816"/>
      <c r="AC29" s="816"/>
      <c r="AD29" s="816"/>
      <c r="AE29" s="816"/>
      <c r="AF29" s="483"/>
      <c r="AG29" s="817" t="s">
        <v>267</v>
      </c>
      <c r="AH29" s="818"/>
      <c r="AI29" s="818"/>
      <c r="AJ29" s="819"/>
      <c r="AK29" s="466">
        <f>SUM(AO21:AR28)</f>
        <v>51.41</v>
      </c>
      <c r="AL29" s="467"/>
      <c r="AM29" s="467"/>
      <c r="AN29" s="468"/>
      <c r="AO29" s="820">
        <f>ROUND(AG29*AK29,2)</f>
        <v>10.54</v>
      </c>
      <c r="AP29" s="821"/>
      <c r="AQ29" s="821"/>
      <c r="AR29" s="822"/>
    </row>
    <row r="30" spans="3:44" ht="18" customHeight="1">
      <c r="C30" s="743"/>
      <c r="D30" s="744"/>
      <c r="E30" s="744"/>
      <c r="F30" s="744"/>
      <c r="G30" s="744"/>
      <c r="H30" s="744"/>
      <c r="I30" s="744"/>
      <c r="J30" s="744"/>
      <c r="K30" s="744"/>
      <c r="L30" s="744"/>
      <c r="M30" s="744"/>
      <c r="N30" s="744"/>
      <c r="O30" s="744"/>
      <c r="P30" s="744"/>
      <c r="Q30" s="744"/>
      <c r="R30" s="744"/>
      <c r="S30" s="744"/>
      <c r="T30" s="744"/>
      <c r="U30" s="744"/>
      <c r="V30" s="744"/>
      <c r="W30" s="744"/>
      <c r="X30" s="744"/>
      <c r="Y30" s="745" t="s">
        <v>79</v>
      </c>
      <c r="Z30" s="745"/>
      <c r="AA30" s="745"/>
      <c r="AB30" s="745"/>
      <c r="AC30" s="745"/>
      <c r="AD30" s="745"/>
      <c r="AE30" s="745"/>
      <c r="AF30" s="745"/>
      <c r="AG30" s="745"/>
      <c r="AH30" s="745"/>
      <c r="AI30" s="745"/>
      <c r="AJ30" s="745"/>
      <c r="AK30" s="745"/>
      <c r="AL30" s="745"/>
      <c r="AM30" s="745"/>
      <c r="AN30" s="430"/>
      <c r="AO30" s="477">
        <f>SUM(AO21:AR29)</f>
        <v>61.949999999999996</v>
      </c>
      <c r="AP30" s="746"/>
      <c r="AQ30" s="746"/>
      <c r="AR30" s="747"/>
    </row>
    <row r="32" spans="3:44" ht="18" customHeight="1">
      <c r="C32" s="802"/>
      <c r="D32" s="803"/>
      <c r="E32" s="803"/>
      <c r="F32" s="803"/>
      <c r="G32" s="803"/>
      <c r="H32" s="803"/>
      <c r="I32" s="803"/>
      <c r="J32" s="803"/>
      <c r="K32" s="803"/>
      <c r="L32" s="803"/>
      <c r="M32" s="803"/>
      <c r="N32" s="803"/>
      <c r="O32" s="803"/>
      <c r="P32" s="803"/>
      <c r="Q32" s="803"/>
      <c r="R32" s="803"/>
      <c r="S32" s="803"/>
      <c r="T32" s="803"/>
      <c r="U32" s="803"/>
      <c r="V32" s="803"/>
      <c r="W32" s="803"/>
      <c r="X32" s="803"/>
      <c r="Y32" s="804" t="s">
        <v>80</v>
      </c>
      <c r="Z32" s="805"/>
      <c r="AA32" s="805"/>
      <c r="AB32" s="805"/>
      <c r="AC32" s="805"/>
      <c r="AD32" s="805"/>
      <c r="AE32" s="805"/>
      <c r="AF32" s="805"/>
      <c r="AG32" s="805"/>
      <c r="AH32" s="805"/>
      <c r="AI32" s="805"/>
      <c r="AJ32" s="805"/>
      <c r="AK32" s="805"/>
      <c r="AL32" s="805"/>
      <c r="AM32" s="805"/>
      <c r="AN32" s="806"/>
      <c r="AO32" s="807">
        <f>AO17+AO30</f>
        <v>65.06</v>
      </c>
      <c r="AP32" s="808"/>
      <c r="AQ32" s="808"/>
      <c r="AR32" s="809"/>
    </row>
    <row r="33" spans="3:44" ht="18" customHeight="1">
      <c r="C33" s="810" t="s">
        <v>81</v>
      </c>
      <c r="D33" s="745"/>
      <c r="E33" s="745"/>
      <c r="F33" s="745"/>
      <c r="G33" s="745"/>
      <c r="H33" s="745"/>
      <c r="I33" s="745"/>
      <c r="J33" s="745"/>
      <c r="K33" s="745"/>
      <c r="L33" s="745"/>
      <c r="M33" s="745"/>
      <c r="N33" s="745"/>
      <c r="O33" s="745"/>
      <c r="P33" s="430"/>
      <c r="Q33" s="477">
        <v>10</v>
      </c>
      <c r="R33" s="746"/>
      <c r="S33" s="746"/>
      <c r="T33" s="746"/>
      <c r="U33" s="746"/>
      <c r="V33" s="745" t="s">
        <v>246</v>
      </c>
      <c r="W33" s="745"/>
      <c r="X33" s="430"/>
      <c r="Y33" s="804" t="s">
        <v>82</v>
      </c>
      <c r="Z33" s="805"/>
      <c r="AA33" s="805"/>
      <c r="AB33" s="805"/>
      <c r="AC33" s="805"/>
      <c r="AD33" s="805"/>
      <c r="AE33" s="805"/>
      <c r="AF33" s="805"/>
      <c r="AG33" s="805"/>
      <c r="AH33" s="805"/>
      <c r="AI33" s="805"/>
      <c r="AJ33" s="805"/>
      <c r="AK33" s="805"/>
      <c r="AL33" s="805"/>
      <c r="AM33" s="805"/>
      <c r="AN33" s="806"/>
      <c r="AO33" s="811">
        <f>ROUND(AO32/Q33,2)</f>
        <v>6.51</v>
      </c>
      <c r="AP33" s="812"/>
      <c r="AQ33" s="812"/>
      <c r="AR33" s="813"/>
    </row>
    <row r="35" spans="3:44" ht="18" customHeight="1">
      <c r="C35" s="794" t="s">
        <v>43</v>
      </c>
      <c r="D35" s="774"/>
      <c r="E35" s="775"/>
      <c r="F35" s="773" t="s">
        <v>83</v>
      </c>
      <c r="G35" s="774"/>
      <c r="H35" s="774"/>
      <c r="I35" s="774"/>
      <c r="J35" s="774"/>
      <c r="K35" s="774"/>
      <c r="L35" s="774"/>
      <c r="M35" s="774"/>
      <c r="N35" s="774"/>
      <c r="O35" s="774"/>
      <c r="P35" s="774"/>
      <c r="Q35" s="774"/>
      <c r="R35" s="774"/>
      <c r="S35" s="774"/>
      <c r="T35" s="774"/>
      <c r="U35" s="774"/>
      <c r="V35" s="774"/>
      <c r="W35" s="774"/>
      <c r="X35" s="774"/>
      <c r="Y35" s="774"/>
      <c r="Z35" s="774"/>
      <c r="AA35" s="774"/>
      <c r="AB35" s="775"/>
      <c r="AC35" s="773" t="s">
        <v>84</v>
      </c>
      <c r="AD35" s="774"/>
      <c r="AE35" s="774"/>
      <c r="AF35" s="775"/>
      <c r="AG35" s="773" t="s">
        <v>85</v>
      </c>
      <c r="AH35" s="774"/>
      <c r="AI35" s="774"/>
      <c r="AJ35" s="775"/>
      <c r="AK35" s="773" t="s">
        <v>86</v>
      </c>
      <c r="AL35" s="774"/>
      <c r="AM35" s="774"/>
      <c r="AN35" s="775"/>
      <c r="AO35" s="773" t="s">
        <v>87</v>
      </c>
      <c r="AP35" s="774"/>
      <c r="AQ35" s="774"/>
      <c r="AR35" s="779"/>
    </row>
    <row r="36" spans="3:44" ht="18" customHeight="1">
      <c r="C36" s="795"/>
      <c r="D36" s="777"/>
      <c r="E36" s="778"/>
      <c r="F36" s="776"/>
      <c r="G36" s="777"/>
      <c r="H36" s="777"/>
      <c r="I36" s="777"/>
      <c r="J36" s="777"/>
      <c r="K36" s="777"/>
      <c r="L36" s="777"/>
      <c r="M36" s="777"/>
      <c r="N36" s="777"/>
      <c r="O36" s="777"/>
      <c r="P36" s="777"/>
      <c r="Q36" s="777"/>
      <c r="R36" s="777"/>
      <c r="S36" s="777"/>
      <c r="T36" s="777"/>
      <c r="U36" s="777"/>
      <c r="V36" s="777"/>
      <c r="W36" s="777"/>
      <c r="X36" s="777"/>
      <c r="Y36" s="777"/>
      <c r="Z36" s="777"/>
      <c r="AA36" s="777"/>
      <c r="AB36" s="778"/>
      <c r="AC36" s="776"/>
      <c r="AD36" s="777"/>
      <c r="AE36" s="777"/>
      <c r="AF36" s="778"/>
      <c r="AG36" s="776"/>
      <c r="AH36" s="777"/>
      <c r="AI36" s="777"/>
      <c r="AJ36" s="778"/>
      <c r="AK36" s="776"/>
      <c r="AL36" s="777"/>
      <c r="AM36" s="777"/>
      <c r="AN36" s="778"/>
      <c r="AO36" s="776"/>
      <c r="AP36" s="777"/>
      <c r="AQ36" s="777"/>
      <c r="AR36" s="780"/>
    </row>
    <row r="37" spans="3:44" ht="18" customHeight="1">
      <c r="C37" s="781" t="s">
        <v>1381</v>
      </c>
      <c r="D37" s="782"/>
      <c r="E37" s="783"/>
      <c r="F37" s="493" t="s">
        <v>470</v>
      </c>
      <c r="G37" s="493"/>
      <c r="H37" s="493"/>
      <c r="I37" s="493"/>
      <c r="J37" s="493"/>
      <c r="K37" s="493"/>
      <c r="L37" s="493"/>
      <c r="M37" s="493"/>
      <c r="N37" s="493"/>
      <c r="O37" s="493"/>
      <c r="P37" s="493"/>
      <c r="Q37" s="493"/>
      <c r="R37" s="493"/>
      <c r="S37" s="493"/>
      <c r="T37" s="493"/>
      <c r="U37" s="493"/>
      <c r="V37" s="493"/>
      <c r="W37" s="493"/>
      <c r="X37" s="493"/>
      <c r="Y37" s="493"/>
      <c r="Z37" s="493"/>
      <c r="AA37" s="493"/>
      <c r="AB37" s="493"/>
      <c r="AC37" s="471" t="s">
        <v>246</v>
      </c>
      <c r="AD37" s="803"/>
      <c r="AE37" s="803"/>
      <c r="AF37" s="871"/>
      <c r="AG37" s="466">
        <f>VLOOKUP(C37,[4]MATERIAL!A$1:D$65536,4,FALSE)</f>
        <v>2.95</v>
      </c>
      <c r="AH37" s="467"/>
      <c r="AI37" s="467"/>
      <c r="AJ37" s="468"/>
      <c r="AK37" s="791">
        <v>1</v>
      </c>
      <c r="AL37" s="792"/>
      <c r="AM37" s="792"/>
      <c r="AN37" s="793"/>
      <c r="AO37" s="449">
        <f>ROUND(AG37*AK37,2)</f>
        <v>2.95</v>
      </c>
      <c r="AP37" s="449"/>
      <c r="AQ37" s="449"/>
      <c r="AR37" s="450"/>
    </row>
    <row r="38" spans="3:44" ht="18" customHeight="1">
      <c r="C38" s="758" t="s">
        <v>1382</v>
      </c>
      <c r="D38" s="759"/>
      <c r="E38" s="760"/>
      <c r="F38" s="796" t="s">
        <v>471</v>
      </c>
      <c r="G38" s="797"/>
      <c r="H38" s="797"/>
      <c r="I38" s="797"/>
      <c r="J38" s="797"/>
      <c r="K38" s="797"/>
      <c r="L38" s="797"/>
      <c r="M38" s="797"/>
      <c r="N38" s="797"/>
      <c r="O38" s="797"/>
      <c r="P38" s="797"/>
      <c r="Q38" s="797"/>
      <c r="R38" s="797"/>
      <c r="S38" s="797"/>
      <c r="T38" s="797"/>
      <c r="U38" s="797"/>
      <c r="V38" s="797"/>
      <c r="W38" s="797"/>
      <c r="X38" s="797"/>
      <c r="Y38" s="797"/>
      <c r="Z38" s="797"/>
      <c r="AA38" s="797"/>
      <c r="AB38" s="798"/>
      <c r="AC38" s="799" t="s">
        <v>246</v>
      </c>
      <c r="AD38" s="800"/>
      <c r="AE38" s="800"/>
      <c r="AF38" s="801"/>
      <c r="AG38" s="466">
        <f>VLOOKUP(C38,[4]MATERIAL!A$1:D$65536,4,FALSE)</f>
        <v>8.84</v>
      </c>
      <c r="AH38" s="467"/>
      <c r="AI38" s="467"/>
      <c r="AJ38" s="468"/>
      <c r="AK38" s="737">
        <v>0.15</v>
      </c>
      <c r="AL38" s="738"/>
      <c r="AM38" s="738"/>
      <c r="AN38" s="739"/>
      <c r="AO38" s="449">
        <f>ROUND(AG38*AK38,2)</f>
        <v>1.33</v>
      </c>
      <c r="AP38" s="449"/>
      <c r="AQ38" s="449"/>
      <c r="AR38" s="450"/>
    </row>
    <row r="39" spans="3:44" ht="18" customHeight="1">
      <c r="C39" s="758"/>
      <c r="D39" s="759"/>
      <c r="E39" s="760"/>
      <c r="F39" s="796"/>
      <c r="G39" s="797"/>
      <c r="H39" s="797"/>
      <c r="I39" s="797"/>
      <c r="J39" s="797"/>
      <c r="K39" s="797"/>
      <c r="L39" s="797"/>
      <c r="M39" s="797"/>
      <c r="N39" s="797"/>
      <c r="O39" s="797"/>
      <c r="P39" s="797"/>
      <c r="Q39" s="797"/>
      <c r="R39" s="797"/>
      <c r="S39" s="797"/>
      <c r="T39" s="797"/>
      <c r="U39" s="797"/>
      <c r="V39" s="797"/>
      <c r="W39" s="797"/>
      <c r="X39" s="797"/>
      <c r="Y39" s="797"/>
      <c r="Z39" s="797"/>
      <c r="AA39" s="797"/>
      <c r="AB39" s="798"/>
      <c r="AC39" s="799"/>
      <c r="AD39" s="800"/>
      <c r="AE39" s="800"/>
      <c r="AF39" s="801"/>
      <c r="AG39" s="466"/>
      <c r="AH39" s="467"/>
      <c r="AI39" s="467"/>
      <c r="AJ39" s="468"/>
      <c r="AK39" s="737"/>
      <c r="AL39" s="738"/>
      <c r="AM39" s="738"/>
      <c r="AN39" s="739"/>
      <c r="AO39" s="740"/>
      <c r="AP39" s="741"/>
      <c r="AQ39" s="741"/>
      <c r="AR39" s="742"/>
    </row>
    <row r="40" spans="3:44" ht="18" customHeight="1">
      <c r="C40" s="758"/>
      <c r="D40" s="759"/>
      <c r="E40" s="760"/>
      <c r="F40" s="796">
        <v>0</v>
      </c>
      <c r="G40" s="797"/>
      <c r="H40" s="797"/>
      <c r="I40" s="797"/>
      <c r="J40" s="797"/>
      <c r="K40" s="797"/>
      <c r="L40" s="797"/>
      <c r="M40" s="797"/>
      <c r="N40" s="797"/>
      <c r="O40" s="797"/>
      <c r="P40" s="797"/>
      <c r="Q40" s="797"/>
      <c r="R40" s="797"/>
      <c r="S40" s="797"/>
      <c r="T40" s="797"/>
      <c r="U40" s="797"/>
      <c r="V40" s="797"/>
      <c r="W40" s="797"/>
      <c r="X40" s="797"/>
      <c r="Y40" s="797"/>
      <c r="Z40" s="797"/>
      <c r="AA40" s="797"/>
      <c r="AB40" s="798"/>
      <c r="AC40" s="799"/>
      <c r="AD40" s="800"/>
      <c r="AE40" s="800"/>
      <c r="AF40" s="801"/>
      <c r="AG40" s="466"/>
      <c r="AH40" s="467"/>
      <c r="AI40" s="467"/>
      <c r="AJ40" s="468"/>
      <c r="AK40" s="737"/>
      <c r="AL40" s="738"/>
      <c r="AM40" s="738"/>
      <c r="AN40" s="739"/>
      <c r="AO40" s="740"/>
      <c r="AP40" s="741"/>
      <c r="AQ40" s="741"/>
      <c r="AR40" s="742"/>
    </row>
    <row r="41" spans="3:44" ht="18" customHeight="1">
      <c r="C41" s="758"/>
      <c r="D41" s="759"/>
      <c r="E41" s="760"/>
      <c r="F41" s="796">
        <v>0</v>
      </c>
      <c r="G41" s="797"/>
      <c r="H41" s="797"/>
      <c r="I41" s="797"/>
      <c r="J41" s="797"/>
      <c r="K41" s="797"/>
      <c r="L41" s="797"/>
      <c r="M41" s="797"/>
      <c r="N41" s="797"/>
      <c r="O41" s="797"/>
      <c r="P41" s="797"/>
      <c r="Q41" s="797"/>
      <c r="R41" s="797"/>
      <c r="S41" s="797"/>
      <c r="T41" s="797"/>
      <c r="U41" s="797"/>
      <c r="V41" s="797"/>
      <c r="W41" s="797"/>
      <c r="X41" s="797"/>
      <c r="Y41" s="797"/>
      <c r="Z41" s="797"/>
      <c r="AA41" s="797"/>
      <c r="AB41" s="798"/>
      <c r="AC41" s="799">
        <v>0</v>
      </c>
      <c r="AD41" s="800"/>
      <c r="AE41" s="800"/>
      <c r="AF41" s="801"/>
      <c r="AG41" s="466">
        <v>0</v>
      </c>
      <c r="AH41" s="467"/>
      <c r="AI41" s="467"/>
      <c r="AJ41" s="468"/>
      <c r="AK41" s="737"/>
      <c r="AL41" s="738"/>
      <c r="AM41" s="738"/>
      <c r="AN41" s="739"/>
      <c r="AO41" s="740">
        <f>ROUND(AG41*AK41,2)</f>
        <v>0</v>
      </c>
      <c r="AP41" s="741"/>
      <c r="AQ41" s="741"/>
      <c r="AR41" s="742"/>
    </row>
    <row r="42" spans="3:44" ht="18" customHeight="1">
      <c r="C42" s="758"/>
      <c r="D42" s="759"/>
      <c r="E42" s="760"/>
      <c r="F42" s="796"/>
      <c r="G42" s="797"/>
      <c r="H42" s="797"/>
      <c r="I42" s="797"/>
      <c r="J42" s="797"/>
      <c r="K42" s="797"/>
      <c r="L42" s="797"/>
      <c r="M42" s="797"/>
      <c r="N42" s="797"/>
      <c r="O42" s="797"/>
      <c r="P42" s="797"/>
      <c r="Q42" s="797"/>
      <c r="R42" s="797"/>
      <c r="S42" s="797"/>
      <c r="T42" s="797"/>
      <c r="U42" s="797"/>
      <c r="V42" s="797"/>
      <c r="W42" s="797"/>
      <c r="X42" s="797"/>
      <c r="Y42" s="797"/>
      <c r="Z42" s="797"/>
      <c r="AA42" s="797"/>
      <c r="AB42" s="798"/>
      <c r="AC42" s="799"/>
      <c r="AD42" s="800"/>
      <c r="AE42" s="800"/>
      <c r="AF42" s="801"/>
      <c r="AG42" s="466"/>
      <c r="AH42" s="467"/>
      <c r="AI42" s="467"/>
      <c r="AJ42" s="468"/>
      <c r="AK42" s="737"/>
      <c r="AL42" s="738"/>
      <c r="AM42" s="738"/>
      <c r="AN42" s="739"/>
      <c r="AO42" s="740"/>
      <c r="AP42" s="741"/>
      <c r="AQ42" s="741"/>
      <c r="AR42" s="742"/>
    </row>
    <row r="43" spans="3:44" ht="18" customHeight="1">
      <c r="C43" s="758"/>
      <c r="D43" s="759"/>
      <c r="E43" s="760"/>
      <c r="F43" s="796"/>
      <c r="G43" s="797"/>
      <c r="H43" s="797"/>
      <c r="I43" s="797"/>
      <c r="J43" s="797"/>
      <c r="K43" s="797"/>
      <c r="L43" s="797"/>
      <c r="M43" s="797"/>
      <c r="N43" s="797"/>
      <c r="O43" s="797"/>
      <c r="P43" s="797"/>
      <c r="Q43" s="797"/>
      <c r="R43" s="797"/>
      <c r="S43" s="797"/>
      <c r="T43" s="797"/>
      <c r="U43" s="797"/>
      <c r="V43" s="797"/>
      <c r="W43" s="797"/>
      <c r="X43" s="797"/>
      <c r="Y43" s="797"/>
      <c r="Z43" s="797"/>
      <c r="AA43" s="797"/>
      <c r="AB43" s="798"/>
      <c r="AC43" s="799"/>
      <c r="AD43" s="800"/>
      <c r="AE43" s="800"/>
      <c r="AF43" s="801"/>
      <c r="AG43" s="466"/>
      <c r="AH43" s="467"/>
      <c r="AI43" s="467"/>
      <c r="AJ43" s="468"/>
      <c r="AK43" s="737"/>
      <c r="AL43" s="738"/>
      <c r="AM43" s="738"/>
      <c r="AN43" s="739"/>
      <c r="AO43" s="740"/>
      <c r="AP43" s="741"/>
      <c r="AQ43" s="741"/>
      <c r="AR43" s="742"/>
    </row>
    <row r="44" spans="3:44" ht="18" customHeight="1">
      <c r="C44" s="758"/>
      <c r="D44" s="759"/>
      <c r="E44" s="760"/>
      <c r="F44" s="796"/>
      <c r="G44" s="797"/>
      <c r="H44" s="797"/>
      <c r="I44" s="797"/>
      <c r="J44" s="797"/>
      <c r="K44" s="797"/>
      <c r="L44" s="797"/>
      <c r="M44" s="797"/>
      <c r="N44" s="797"/>
      <c r="O44" s="797"/>
      <c r="P44" s="797"/>
      <c r="Q44" s="797"/>
      <c r="R44" s="797"/>
      <c r="S44" s="797"/>
      <c r="T44" s="797"/>
      <c r="U44" s="797"/>
      <c r="V44" s="797"/>
      <c r="W44" s="797"/>
      <c r="X44" s="797"/>
      <c r="Y44" s="797"/>
      <c r="Z44" s="797"/>
      <c r="AA44" s="797"/>
      <c r="AB44" s="798"/>
      <c r="AC44" s="799"/>
      <c r="AD44" s="800"/>
      <c r="AE44" s="800"/>
      <c r="AF44" s="801"/>
      <c r="AG44" s="466"/>
      <c r="AH44" s="467"/>
      <c r="AI44" s="467"/>
      <c r="AJ44" s="468"/>
      <c r="AK44" s="737"/>
      <c r="AL44" s="738"/>
      <c r="AM44" s="738"/>
      <c r="AN44" s="739"/>
      <c r="AO44" s="740"/>
      <c r="AP44" s="741"/>
      <c r="AQ44" s="741"/>
      <c r="AR44" s="742"/>
    </row>
    <row r="45" spans="3:44" ht="18" customHeight="1">
      <c r="C45" s="743"/>
      <c r="D45" s="744"/>
      <c r="E45" s="744"/>
      <c r="F45" s="744"/>
      <c r="G45" s="744"/>
      <c r="H45" s="744"/>
      <c r="I45" s="744"/>
      <c r="J45" s="744"/>
      <c r="K45" s="744"/>
      <c r="L45" s="744"/>
      <c r="M45" s="744"/>
      <c r="N45" s="744"/>
      <c r="O45" s="744"/>
      <c r="P45" s="744"/>
      <c r="Q45" s="744"/>
      <c r="R45" s="744"/>
      <c r="S45" s="744"/>
      <c r="T45" s="744"/>
      <c r="U45" s="744"/>
      <c r="V45" s="744"/>
      <c r="W45" s="744"/>
      <c r="X45" s="744"/>
      <c r="Y45" s="745" t="s">
        <v>88</v>
      </c>
      <c r="Z45" s="745"/>
      <c r="AA45" s="745"/>
      <c r="AB45" s="745"/>
      <c r="AC45" s="745"/>
      <c r="AD45" s="745"/>
      <c r="AE45" s="745"/>
      <c r="AF45" s="745"/>
      <c r="AG45" s="745"/>
      <c r="AH45" s="745"/>
      <c r="AI45" s="745"/>
      <c r="AJ45" s="745"/>
      <c r="AK45" s="745"/>
      <c r="AL45" s="745"/>
      <c r="AM45" s="745"/>
      <c r="AN45" s="430"/>
      <c r="AO45" s="477">
        <f>SUM(AO37:AR44)</f>
        <v>4.28</v>
      </c>
      <c r="AP45" s="746"/>
      <c r="AQ45" s="746"/>
      <c r="AR45" s="747"/>
    </row>
    <row r="47" spans="3:44" ht="18" customHeight="1">
      <c r="C47" s="794" t="s">
        <v>43</v>
      </c>
      <c r="D47" s="774"/>
      <c r="E47" s="775"/>
      <c r="F47" s="773" t="s">
        <v>89</v>
      </c>
      <c r="G47" s="774"/>
      <c r="H47" s="774"/>
      <c r="I47" s="774"/>
      <c r="J47" s="774"/>
      <c r="K47" s="774"/>
      <c r="L47" s="774"/>
      <c r="M47" s="774"/>
      <c r="N47" s="774"/>
      <c r="O47" s="774"/>
      <c r="P47" s="774"/>
      <c r="Q47" s="774"/>
      <c r="R47" s="775"/>
      <c r="S47" s="773" t="s">
        <v>90</v>
      </c>
      <c r="T47" s="774"/>
      <c r="U47" s="775"/>
      <c r="V47" s="773" t="s">
        <v>91</v>
      </c>
      <c r="W47" s="774"/>
      <c r="X47" s="775"/>
      <c r="Y47" s="773" t="s">
        <v>92</v>
      </c>
      <c r="Z47" s="774"/>
      <c r="AA47" s="774"/>
      <c r="AB47" s="774"/>
      <c r="AC47" s="774"/>
      <c r="AD47" s="775"/>
      <c r="AE47" s="773" t="s">
        <v>93</v>
      </c>
      <c r="AF47" s="774"/>
      <c r="AG47" s="775"/>
      <c r="AH47" s="773" t="s">
        <v>94</v>
      </c>
      <c r="AI47" s="774"/>
      <c r="AJ47" s="775"/>
      <c r="AK47" s="773" t="s">
        <v>86</v>
      </c>
      <c r="AL47" s="774"/>
      <c r="AM47" s="774"/>
      <c r="AN47" s="775"/>
      <c r="AO47" s="773" t="s">
        <v>87</v>
      </c>
      <c r="AP47" s="774"/>
      <c r="AQ47" s="774"/>
      <c r="AR47" s="779"/>
    </row>
    <row r="48" spans="3:44" ht="18" customHeight="1">
      <c r="C48" s="795"/>
      <c r="D48" s="777"/>
      <c r="E48" s="778"/>
      <c r="F48" s="776"/>
      <c r="G48" s="777"/>
      <c r="H48" s="777"/>
      <c r="I48" s="777"/>
      <c r="J48" s="777"/>
      <c r="K48" s="777"/>
      <c r="L48" s="777"/>
      <c r="M48" s="777"/>
      <c r="N48" s="777"/>
      <c r="O48" s="777"/>
      <c r="P48" s="777"/>
      <c r="Q48" s="777"/>
      <c r="R48" s="778"/>
      <c r="S48" s="776"/>
      <c r="T48" s="777"/>
      <c r="U48" s="778"/>
      <c r="V48" s="776"/>
      <c r="W48" s="777"/>
      <c r="X48" s="778"/>
      <c r="Y48" s="776"/>
      <c r="Z48" s="777"/>
      <c r="AA48" s="777"/>
      <c r="AB48" s="777"/>
      <c r="AC48" s="777"/>
      <c r="AD48" s="778"/>
      <c r="AE48" s="776"/>
      <c r="AF48" s="777"/>
      <c r="AG48" s="778"/>
      <c r="AH48" s="776"/>
      <c r="AI48" s="777"/>
      <c r="AJ48" s="778"/>
      <c r="AK48" s="776"/>
      <c r="AL48" s="777"/>
      <c r="AM48" s="777"/>
      <c r="AN48" s="778"/>
      <c r="AO48" s="776"/>
      <c r="AP48" s="777"/>
      <c r="AQ48" s="777"/>
      <c r="AR48" s="780"/>
    </row>
    <row r="49" spans="1:44" ht="18" customHeight="1">
      <c r="C49" s="781"/>
      <c r="D49" s="782"/>
      <c r="E49" s="783"/>
      <c r="F49" s="457"/>
      <c r="G49" s="457"/>
      <c r="H49" s="457"/>
      <c r="I49" s="457"/>
      <c r="J49" s="457"/>
      <c r="K49" s="457"/>
      <c r="L49" s="457"/>
      <c r="M49" s="457"/>
      <c r="N49" s="457"/>
      <c r="O49" s="457"/>
      <c r="P49" s="457"/>
      <c r="Q49" s="457"/>
      <c r="R49" s="457"/>
      <c r="S49" s="784"/>
      <c r="T49" s="785"/>
      <c r="U49" s="786"/>
      <c r="V49" s="784"/>
      <c r="W49" s="785"/>
      <c r="X49" s="786"/>
      <c r="Y49" s="787"/>
      <c r="Z49" s="788"/>
      <c r="AA49" s="788"/>
      <c r="AB49" s="788"/>
      <c r="AC49" s="788"/>
      <c r="AD49" s="789"/>
      <c r="AE49" s="449"/>
      <c r="AF49" s="449"/>
      <c r="AG49" s="449"/>
      <c r="AH49" s="770"/>
      <c r="AI49" s="771"/>
      <c r="AJ49" s="790"/>
      <c r="AK49" s="791"/>
      <c r="AL49" s="792"/>
      <c r="AM49" s="792"/>
      <c r="AN49" s="793"/>
      <c r="AO49" s="770"/>
      <c r="AP49" s="771"/>
      <c r="AQ49" s="771"/>
      <c r="AR49" s="772"/>
    </row>
    <row r="50" spans="1:44" ht="18" customHeight="1">
      <c r="C50" s="758"/>
      <c r="D50" s="759"/>
      <c r="E50" s="760"/>
      <c r="F50" s="761"/>
      <c r="G50" s="762"/>
      <c r="H50" s="762"/>
      <c r="I50" s="762"/>
      <c r="J50" s="762"/>
      <c r="K50" s="762"/>
      <c r="L50" s="762"/>
      <c r="M50" s="762"/>
      <c r="N50" s="762"/>
      <c r="O50" s="762"/>
      <c r="P50" s="762"/>
      <c r="Q50" s="762"/>
      <c r="R50" s="763"/>
      <c r="S50" s="764"/>
      <c r="T50" s="765"/>
      <c r="U50" s="766"/>
      <c r="V50" s="764"/>
      <c r="W50" s="765"/>
      <c r="X50" s="766"/>
      <c r="Y50" s="767"/>
      <c r="Z50" s="768"/>
      <c r="AA50" s="768"/>
      <c r="AB50" s="768"/>
      <c r="AC50" s="768"/>
      <c r="AD50" s="769"/>
      <c r="AE50" s="740"/>
      <c r="AF50" s="741"/>
      <c r="AG50" s="757"/>
      <c r="AH50" s="740"/>
      <c r="AI50" s="741"/>
      <c r="AJ50" s="757"/>
      <c r="AK50" s="737"/>
      <c r="AL50" s="738"/>
      <c r="AM50" s="738"/>
      <c r="AN50" s="739"/>
      <c r="AO50" s="740">
        <f t="shared" ref="AO50:AO56" si="0">ROUND(AE50*AH50*AK50,2)</f>
        <v>0</v>
      </c>
      <c r="AP50" s="741"/>
      <c r="AQ50" s="741"/>
      <c r="AR50" s="742"/>
    </row>
    <row r="51" spans="1:44" ht="18" customHeight="1">
      <c r="C51" s="758"/>
      <c r="D51" s="759"/>
      <c r="E51" s="760"/>
      <c r="F51" s="761"/>
      <c r="G51" s="762"/>
      <c r="H51" s="762"/>
      <c r="I51" s="762"/>
      <c r="J51" s="762"/>
      <c r="K51" s="762"/>
      <c r="L51" s="762"/>
      <c r="M51" s="762"/>
      <c r="N51" s="762"/>
      <c r="O51" s="762"/>
      <c r="P51" s="762"/>
      <c r="Q51" s="762"/>
      <c r="R51" s="763"/>
      <c r="S51" s="764"/>
      <c r="T51" s="765"/>
      <c r="U51" s="766"/>
      <c r="V51" s="764"/>
      <c r="W51" s="765"/>
      <c r="X51" s="766"/>
      <c r="Y51" s="767"/>
      <c r="Z51" s="768"/>
      <c r="AA51" s="768"/>
      <c r="AB51" s="768"/>
      <c r="AC51" s="768"/>
      <c r="AD51" s="769"/>
      <c r="AE51" s="740"/>
      <c r="AF51" s="741"/>
      <c r="AG51" s="757"/>
      <c r="AH51" s="740"/>
      <c r="AI51" s="741"/>
      <c r="AJ51" s="757"/>
      <c r="AK51" s="737"/>
      <c r="AL51" s="738"/>
      <c r="AM51" s="738"/>
      <c r="AN51" s="739"/>
      <c r="AO51" s="740">
        <f t="shared" si="0"/>
        <v>0</v>
      </c>
      <c r="AP51" s="741"/>
      <c r="AQ51" s="741"/>
      <c r="AR51" s="742"/>
    </row>
    <row r="52" spans="1:44" ht="18" customHeight="1">
      <c r="C52" s="758"/>
      <c r="D52" s="759"/>
      <c r="E52" s="760"/>
      <c r="F52" s="761"/>
      <c r="G52" s="762"/>
      <c r="H52" s="762"/>
      <c r="I52" s="762"/>
      <c r="J52" s="762"/>
      <c r="K52" s="762"/>
      <c r="L52" s="762"/>
      <c r="M52" s="762"/>
      <c r="N52" s="762"/>
      <c r="O52" s="762"/>
      <c r="P52" s="762"/>
      <c r="Q52" s="762"/>
      <c r="R52" s="763"/>
      <c r="S52" s="764"/>
      <c r="T52" s="765"/>
      <c r="U52" s="766"/>
      <c r="V52" s="764"/>
      <c r="W52" s="765"/>
      <c r="X52" s="766"/>
      <c r="Y52" s="767"/>
      <c r="Z52" s="768"/>
      <c r="AA52" s="768"/>
      <c r="AB52" s="768"/>
      <c r="AC52" s="768"/>
      <c r="AD52" s="769"/>
      <c r="AE52" s="740"/>
      <c r="AF52" s="741"/>
      <c r="AG52" s="757"/>
      <c r="AH52" s="740"/>
      <c r="AI52" s="741"/>
      <c r="AJ52" s="757"/>
      <c r="AK52" s="737"/>
      <c r="AL52" s="738"/>
      <c r="AM52" s="738"/>
      <c r="AN52" s="739"/>
      <c r="AO52" s="740">
        <f t="shared" si="0"/>
        <v>0</v>
      </c>
      <c r="AP52" s="741"/>
      <c r="AQ52" s="741"/>
      <c r="AR52" s="742"/>
    </row>
    <row r="53" spans="1:44" ht="18" customHeight="1">
      <c r="C53" s="758"/>
      <c r="D53" s="759"/>
      <c r="E53" s="760"/>
      <c r="F53" s="761"/>
      <c r="G53" s="762"/>
      <c r="H53" s="762"/>
      <c r="I53" s="762"/>
      <c r="J53" s="762"/>
      <c r="K53" s="762"/>
      <c r="L53" s="762"/>
      <c r="M53" s="762"/>
      <c r="N53" s="762"/>
      <c r="O53" s="762"/>
      <c r="P53" s="762"/>
      <c r="Q53" s="762"/>
      <c r="R53" s="763"/>
      <c r="S53" s="764"/>
      <c r="T53" s="765"/>
      <c r="U53" s="766"/>
      <c r="V53" s="764"/>
      <c r="W53" s="765"/>
      <c r="X53" s="766"/>
      <c r="Y53" s="767"/>
      <c r="Z53" s="768"/>
      <c r="AA53" s="768"/>
      <c r="AB53" s="768"/>
      <c r="AC53" s="768"/>
      <c r="AD53" s="769"/>
      <c r="AE53" s="740"/>
      <c r="AF53" s="741"/>
      <c r="AG53" s="757"/>
      <c r="AH53" s="740"/>
      <c r="AI53" s="741"/>
      <c r="AJ53" s="757"/>
      <c r="AK53" s="737"/>
      <c r="AL53" s="738"/>
      <c r="AM53" s="738"/>
      <c r="AN53" s="739"/>
      <c r="AO53" s="740">
        <f t="shared" si="0"/>
        <v>0</v>
      </c>
      <c r="AP53" s="741"/>
      <c r="AQ53" s="741"/>
      <c r="AR53" s="742"/>
    </row>
    <row r="54" spans="1:44" ht="18" customHeight="1">
      <c r="C54" s="758"/>
      <c r="D54" s="759"/>
      <c r="E54" s="760"/>
      <c r="F54" s="761"/>
      <c r="G54" s="762"/>
      <c r="H54" s="762"/>
      <c r="I54" s="762"/>
      <c r="J54" s="762"/>
      <c r="K54" s="762"/>
      <c r="L54" s="762"/>
      <c r="M54" s="762"/>
      <c r="N54" s="762"/>
      <c r="O54" s="762"/>
      <c r="P54" s="762"/>
      <c r="Q54" s="762"/>
      <c r="R54" s="763"/>
      <c r="S54" s="764"/>
      <c r="T54" s="765"/>
      <c r="U54" s="766"/>
      <c r="V54" s="764"/>
      <c r="W54" s="765"/>
      <c r="X54" s="766"/>
      <c r="Y54" s="767"/>
      <c r="Z54" s="768"/>
      <c r="AA54" s="768"/>
      <c r="AB54" s="768"/>
      <c r="AC54" s="768"/>
      <c r="AD54" s="769"/>
      <c r="AE54" s="740"/>
      <c r="AF54" s="741"/>
      <c r="AG54" s="757"/>
      <c r="AH54" s="740"/>
      <c r="AI54" s="741"/>
      <c r="AJ54" s="757"/>
      <c r="AK54" s="737"/>
      <c r="AL54" s="738"/>
      <c r="AM54" s="738"/>
      <c r="AN54" s="739"/>
      <c r="AO54" s="740">
        <f t="shared" si="0"/>
        <v>0</v>
      </c>
      <c r="AP54" s="741"/>
      <c r="AQ54" s="741"/>
      <c r="AR54" s="742"/>
    </row>
    <row r="55" spans="1:44" ht="18" customHeight="1">
      <c r="C55" s="758"/>
      <c r="D55" s="759"/>
      <c r="E55" s="760"/>
      <c r="F55" s="761"/>
      <c r="G55" s="762"/>
      <c r="H55" s="762"/>
      <c r="I55" s="762"/>
      <c r="J55" s="762"/>
      <c r="K55" s="762"/>
      <c r="L55" s="762"/>
      <c r="M55" s="762"/>
      <c r="N55" s="762"/>
      <c r="O55" s="762"/>
      <c r="P55" s="762"/>
      <c r="Q55" s="762"/>
      <c r="R55" s="763"/>
      <c r="S55" s="764"/>
      <c r="T55" s="765"/>
      <c r="U55" s="766"/>
      <c r="V55" s="764"/>
      <c r="W55" s="765"/>
      <c r="X55" s="766"/>
      <c r="Y55" s="767"/>
      <c r="Z55" s="768"/>
      <c r="AA55" s="768"/>
      <c r="AB55" s="768"/>
      <c r="AC55" s="768"/>
      <c r="AD55" s="769"/>
      <c r="AE55" s="740"/>
      <c r="AF55" s="741"/>
      <c r="AG55" s="757"/>
      <c r="AH55" s="740"/>
      <c r="AI55" s="741"/>
      <c r="AJ55" s="757"/>
      <c r="AK55" s="737"/>
      <c r="AL55" s="738"/>
      <c r="AM55" s="738"/>
      <c r="AN55" s="739"/>
      <c r="AO55" s="740">
        <f t="shared" si="0"/>
        <v>0</v>
      </c>
      <c r="AP55" s="741"/>
      <c r="AQ55" s="741"/>
      <c r="AR55" s="742"/>
    </row>
    <row r="56" spans="1:44" ht="18" customHeight="1">
      <c r="C56" s="758"/>
      <c r="D56" s="759"/>
      <c r="E56" s="760"/>
      <c r="F56" s="761"/>
      <c r="G56" s="762"/>
      <c r="H56" s="762"/>
      <c r="I56" s="762"/>
      <c r="J56" s="762"/>
      <c r="K56" s="762"/>
      <c r="L56" s="762"/>
      <c r="M56" s="762"/>
      <c r="N56" s="762"/>
      <c r="O56" s="762"/>
      <c r="P56" s="762"/>
      <c r="Q56" s="762"/>
      <c r="R56" s="763"/>
      <c r="S56" s="764"/>
      <c r="T56" s="765"/>
      <c r="U56" s="766"/>
      <c r="V56" s="764"/>
      <c r="W56" s="765"/>
      <c r="X56" s="766"/>
      <c r="Y56" s="767"/>
      <c r="Z56" s="768"/>
      <c r="AA56" s="768"/>
      <c r="AB56" s="768"/>
      <c r="AC56" s="768"/>
      <c r="AD56" s="769"/>
      <c r="AE56" s="740"/>
      <c r="AF56" s="741"/>
      <c r="AG56" s="757"/>
      <c r="AH56" s="740"/>
      <c r="AI56" s="741"/>
      <c r="AJ56" s="757"/>
      <c r="AK56" s="737"/>
      <c r="AL56" s="738"/>
      <c r="AM56" s="738"/>
      <c r="AN56" s="739"/>
      <c r="AO56" s="740">
        <f t="shared" si="0"/>
        <v>0</v>
      </c>
      <c r="AP56" s="741"/>
      <c r="AQ56" s="741"/>
      <c r="AR56" s="742"/>
    </row>
    <row r="57" spans="1:44" ht="18" customHeight="1">
      <c r="C57" s="743"/>
      <c r="D57" s="744"/>
      <c r="E57" s="744"/>
      <c r="F57" s="744"/>
      <c r="G57" s="744"/>
      <c r="H57" s="744"/>
      <c r="I57" s="744"/>
      <c r="J57" s="744"/>
      <c r="K57" s="744"/>
      <c r="L57" s="744"/>
      <c r="M57" s="744"/>
      <c r="N57" s="744"/>
      <c r="O57" s="744"/>
      <c r="P57" s="744"/>
      <c r="Q57" s="744"/>
      <c r="R57" s="744"/>
      <c r="S57" s="744"/>
      <c r="T57" s="744"/>
      <c r="U57" s="744"/>
      <c r="V57" s="744"/>
      <c r="W57" s="744"/>
      <c r="X57" s="744"/>
      <c r="Y57" s="745" t="s">
        <v>95</v>
      </c>
      <c r="Z57" s="745"/>
      <c r="AA57" s="745"/>
      <c r="AB57" s="745"/>
      <c r="AC57" s="745"/>
      <c r="AD57" s="745"/>
      <c r="AE57" s="745"/>
      <c r="AF57" s="745"/>
      <c r="AG57" s="745"/>
      <c r="AH57" s="745"/>
      <c r="AI57" s="745"/>
      <c r="AJ57" s="745"/>
      <c r="AK57" s="745"/>
      <c r="AL57" s="745"/>
      <c r="AM57" s="745"/>
      <c r="AN57" s="430"/>
      <c r="AO57" s="477">
        <f>SUM(AO49:AR56)</f>
        <v>0</v>
      </c>
      <c r="AP57" s="746"/>
      <c r="AQ57" s="746"/>
      <c r="AR57" s="747"/>
    </row>
    <row r="59" spans="1:44" ht="18" customHeight="1">
      <c r="C59" s="434"/>
      <c r="D59" s="434"/>
      <c r="E59" s="434"/>
      <c r="F59" s="434"/>
      <c r="G59" s="434"/>
      <c r="H59" s="434"/>
      <c r="I59" s="434"/>
      <c r="J59" s="434"/>
      <c r="K59" s="434"/>
      <c r="L59" s="434"/>
      <c r="M59" s="434"/>
      <c r="N59" s="434"/>
      <c r="O59" s="434"/>
      <c r="P59" s="434"/>
      <c r="Q59" s="434"/>
      <c r="R59" s="434"/>
      <c r="S59" s="434"/>
      <c r="T59" s="434"/>
      <c r="U59" s="434"/>
      <c r="V59" s="434"/>
      <c r="W59" s="434"/>
      <c r="X59" s="748"/>
      <c r="Y59" s="749" t="s">
        <v>96</v>
      </c>
      <c r="Z59" s="750"/>
      <c r="AA59" s="750"/>
      <c r="AB59" s="750"/>
      <c r="AC59" s="750"/>
      <c r="AD59" s="750"/>
      <c r="AE59" s="750"/>
      <c r="AF59" s="750"/>
      <c r="AG59" s="750"/>
      <c r="AH59" s="750"/>
      <c r="AI59" s="750"/>
      <c r="AJ59" s="750"/>
      <c r="AK59" s="750"/>
      <c r="AL59" s="750"/>
      <c r="AM59" s="750"/>
      <c r="AN59" s="751"/>
      <c r="AO59" s="752">
        <f>AO33+AO45+AO57</f>
        <v>10.79</v>
      </c>
      <c r="AP59" s="753"/>
      <c r="AQ59" s="753"/>
      <c r="AR59" s="754"/>
    </row>
    <row r="60" spans="1:44" ht="18" customHeight="1">
      <c r="C60" s="434"/>
      <c r="D60" s="434"/>
      <c r="E60" s="434"/>
      <c r="F60" s="434"/>
      <c r="G60" s="434"/>
      <c r="H60" s="434"/>
      <c r="I60" s="434"/>
      <c r="J60" s="434"/>
      <c r="K60" s="434"/>
      <c r="L60" s="434"/>
      <c r="M60" s="434"/>
      <c r="N60" s="434"/>
      <c r="O60" s="434"/>
      <c r="P60" s="434"/>
      <c r="Q60" s="434"/>
      <c r="R60" s="434"/>
      <c r="S60" s="434"/>
      <c r="T60" s="434"/>
      <c r="U60" s="434"/>
      <c r="V60" s="434"/>
      <c r="W60" s="434"/>
      <c r="X60" s="748"/>
      <c r="Y60" s="755" t="s">
        <v>97</v>
      </c>
      <c r="Z60" s="756"/>
      <c r="AA60" s="756"/>
      <c r="AB60" s="756"/>
      <c r="AC60" s="756"/>
      <c r="AD60" s="756"/>
      <c r="AE60" s="756"/>
      <c r="AF60" s="756"/>
      <c r="AG60" s="756"/>
      <c r="AH60" s="442">
        <v>0.2031</v>
      </c>
      <c r="AI60" s="442"/>
      <c r="AJ60" s="442"/>
      <c r="AK60" s="442"/>
      <c r="AL60" s="442"/>
      <c r="AM60" s="442"/>
      <c r="AN60" s="443"/>
      <c r="AO60" s="728">
        <f>ROUND(AO59*AH60,2)</f>
        <v>2.19</v>
      </c>
      <c r="AP60" s="729"/>
      <c r="AQ60" s="729"/>
      <c r="AR60" s="730"/>
    </row>
    <row r="61" spans="1:44" ht="18" customHeight="1">
      <c r="A61" s="415" t="s">
        <v>472</v>
      </c>
      <c r="B61" s="415"/>
      <c r="C61" s="434"/>
      <c r="D61" s="434"/>
      <c r="E61" s="434"/>
      <c r="F61" s="434"/>
      <c r="G61" s="434"/>
      <c r="H61" s="434"/>
      <c r="I61" s="434"/>
      <c r="J61" s="434"/>
      <c r="K61" s="434"/>
      <c r="L61" s="434"/>
      <c r="M61" s="434"/>
      <c r="N61" s="434"/>
      <c r="O61" s="434"/>
      <c r="P61" s="434"/>
      <c r="Q61" s="434"/>
      <c r="R61" s="434"/>
      <c r="S61" s="434"/>
      <c r="T61" s="434"/>
      <c r="U61" s="434"/>
      <c r="V61" s="434"/>
      <c r="W61" s="434"/>
      <c r="X61" s="748"/>
      <c r="Y61" s="731" t="s">
        <v>98</v>
      </c>
      <c r="Z61" s="732"/>
      <c r="AA61" s="732"/>
      <c r="AB61" s="732"/>
      <c r="AC61" s="732"/>
      <c r="AD61" s="732"/>
      <c r="AE61" s="732"/>
      <c r="AF61" s="732"/>
      <c r="AG61" s="732"/>
      <c r="AH61" s="732"/>
      <c r="AI61" s="732"/>
      <c r="AJ61" s="732"/>
      <c r="AK61" s="732"/>
      <c r="AL61" s="732"/>
      <c r="AM61" s="732"/>
      <c r="AN61" s="733"/>
      <c r="AO61" s="734">
        <f>SUM(AO59:AR60)</f>
        <v>12.979999999999999</v>
      </c>
      <c r="AP61" s="735"/>
      <c r="AQ61" s="735"/>
      <c r="AR61" s="736"/>
    </row>
    <row r="63" spans="1:44" ht="18" customHeight="1">
      <c r="C63" s="420" t="s">
        <v>99</v>
      </c>
      <c r="D63" s="421"/>
      <c r="E63" s="421"/>
      <c r="F63" s="421"/>
      <c r="G63" s="421"/>
      <c r="H63" s="421"/>
      <c r="I63" s="422"/>
      <c r="J63" s="422"/>
      <c r="K63" s="422"/>
      <c r="L63" s="422"/>
      <c r="M63" s="422"/>
      <c r="N63" s="422"/>
      <c r="O63" s="422"/>
      <c r="P63" s="422"/>
      <c r="Q63" s="422"/>
      <c r="R63" s="422"/>
      <c r="S63" s="422"/>
      <c r="T63" s="422"/>
      <c r="U63" s="422"/>
      <c r="V63" s="422"/>
      <c r="W63" s="422"/>
      <c r="X63" s="422"/>
      <c r="Y63" s="422"/>
      <c r="Z63" s="422"/>
      <c r="AA63" s="422"/>
      <c r="AB63" s="422"/>
      <c r="AC63" s="422"/>
      <c r="AD63" s="422"/>
      <c r="AE63" s="422"/>
      <c r="AF63" s="422"/>
      <c r="AG63" s="422"/>
      <c r="AH63" s="422"/>
      <c r="AI63" s="422"/>
      <c r="AJ63" s="422"/>
      <c r="AK63" s="422"/>
      <c r="AL63" s="422"/>
      <c r="AM63" s="422"/>
      <c r="AN63" s="422"/>
      <c r="AO63" s="422"/>
      <c r="AP63" s="422"/>
      <c r="AQ63" s="422"/>
      <c r="AR63" s="423"/>
    </row>
    <row r="64" spans="1:44" ht="18" customHeight="1">
      <c r="C64" s="411"/>
      <c r="D64" s="412"/>
      <c r="E64" s="412"/>
      <c r="F64" s="412"/>
      <c r="G64" s="412"/>
      <c r="H64" s="412"/>
      <c r="I64" s="409"/>
      <c r="J64" s="409"/>
      <c r="K64" s="409"/>
      <c r="L64" s="409"/>
      <c r="M64" s="409"/>
      <c r="N64" s="409"/>
      <c r="O64" s="409"/>
      <c r="P64" s="409"/>
      <c r="Q64" s="409"/>
      <c r="R64" s="409"/>
      <c r="S64" s="409"/>
      <c r="T64" s="409"/>
      <c r="U64" s="409"/>
      <c r="V64" s="409"/>
      <c r="W64" s="409"/>
      <c r="X64" s="409"/>
      <c r="Y64" s="409"/>
      <c r="Z64" s="409"/>
      <c r="AA64" s="409"/>
      <c r="AB64" s="409"/>
      <c r="AC64" s="409"/>
      <c r="AD64" s="409"/>
      <c r="AE64" s="409"/>
      <c r="AF64" s="409"/>
      <c r="AG64" s="409"/>
      <c r="AH64" s="409"/>
      <c r="AI64" s="409"/>
      <c r="AJ64" s="409"/>
      <c r="AK64" s="409"/>
      <c r="AL64" s="409"/>
      <c r="AM64" s="409"/>
      <c r="AN64" s="409"/>
      <c r="AO64" s="409"/>
      <c r="AP64" s="409"/>
      <c r="AQ64" s="409"/>
      <c r="AR64" s="410"/>
    </row>
    <row r="65" spans="3:44" ht="18" customHeight="1">
      <c r="C65" s="411"/>
      <c r="D65" s="412"/>
      <c r="E65" s="412"/>
      <c r="F65" s="412"/>
      <c r="G65" s="412"/>
      <c r="H65" s="412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409"/>
      <c r="AC65" s="409"/>
      <c r="AD65" s="409"/>
      <c r="AE65" s="409"/>
      <c r="AF65" s="409"/>
      <c r="AG65" s="409"/>
      <c r="AH65" s="409"/>
      <c r="AI65" s="409"/>
      <c r="AJ65" s="409"/>
      <c r="AK65" s="409"/>
      <c r="AL65" s="409"/>
      <c r="AM65" s="409"/>
      <c r="AN65" s="409"/>
      <c r="AO65" s="409"/>
      <c r="AP65" s="409"/>
      <c r="AQ65" s="409"/>
      <c r="AR65" s="410"/>
    </row>
    <row r="66" spans="3:44" ht="18" customHeight="1">
      <c r="C66" s="411"/>
      <c r="D66" s="412"/>
      <c r="E66" s="412"/>
      <c r="F66" s="412"/>
      <c r="G66" s="412"/>
      <c r="H66" s="412"/>
      <c r="I66" s="409"/>
      <c r="J66" s="409"/>
      <c r="K66" s="409"/>
      <c r="L66" s="409"/>
      <c r="M66" s="409"/>
      <c r="N66" s="409"/>
      <c r="O66" s="409"/>
      <c r="P66" s="409"/>
      <c r="Q66" s="409"/>
      <c r="R66" s="409"/>
      <c r="S66" s="409"/>
      <c r="T66" s="409"/>
      <c r="U66" s="409"/>
      <c r="V66" s="409"/>
      <c r="W66" s="409"/>
      <c r="X66" s="409"/>
      <c r="Y66" s="409"/>
      <c r="Z66" s="409"/>
      <c r="AA66" s="409"/>
      <c r="AB66" s="409"/>
      <c r="AC66" s="409"/>
      <c r="AD66" s="409"/>
      <c r="AE66" s="409"/>
      <c r="AF66" s="409"/>
      <c r="AG66" s="409"/>
      <c r="AH66" s="409"/>
      <c r="AI66" s="409"/>
      <c r="AJ66" s="409"/>
      <c r="AK66" s="409"/>
      <c r="AL66" s="409"/>
      <c r="AM66" s="409"/>
      <c r="AN66" s="409"/>
      <c r="AO66" s="409"/>
      <c r="AP66" s="409"/>
      <c r="AQ66" s="409"/>
      <c r="AR66" s="410"/>
    </row>
    <row r="67" spans="3:44" ht="18" customHeight="1">
      <c r="C67" s="411"/>
      <c r="D67" s="412"/>
      <c r="E67" s="412"/>
      <c r="F67" s="412"/>
      <c r="G67" s="412"/>
      <c r="H67" s="412"/>
      <c r="I67" s="409"/>
      <c r="J67" s="409"/>
      <c r="K67" s="409"/>
      <c r="L67" s="409"/>
      <c r="M67" s="409"/>
      <c r="N67" s="409"/>
      <c r="O67" s="409"/>
      <c r="P67" s="409"/>
      <c r="Q67" s="409"/>
      <c r="R67" s="409"/>
      <c r="S67" s="409"/>
      <c r="T67" s="409"/>
      <c r="U67" s="409"/>
      <c r="V67" s="409"/>
      <c r="W67" s="409"/>
      <c r="X67" s="409"/>
      <c r="Y67" s="409"/>
      <c r="Z67" s="409"/>
      <c r="AA67" s="409"/>
      <c r="AB67" s="409"/>
      <c r="AC67" s="409"/>
      <c r="AD67" s="409"/>
      <c r="AE67" s="409"/>
      <c r="AF67" s="409"/>
      <c r="AG67" s="409"/>
      <c r="AH67" s="409"/>
      <c r="AI67" s="409"/>
      <c r="AJ67" s="409"/>
      <c r="AK67" s="409"/>
      <c r="AL67" s="409"/>
      <c r="AM67" s="409"/>
      <c r="AN67" s="409"/>
      <c r="AO67" s="409"/>
      <c r="AP67" s="409"/>
      <c r="AQ67" s="409"/>
      <c r="AR67" s="410"/>
    </row>
    <row r="68" spans="3:44" ht="18" customHeight="1">
      <c r="C68" s="385"/>
      <c r="D68" s="386"/>
      <c r="E68" s="386"/>
      <c r="F68" s="386"/>
      <c r="G68" s="386"/>
      <c r="H68" s="386"/>
      <c r="I68" s="387"/>
      <c r="J68" s="387"/>
      <c r="K68" s="387"/>
      <c r="L68" s="387"/>
      <c r="M68" s="387"/>
      <c r="N68" s="387"/>
      <c r="O68" s="387"/>
      <c r="P68" s="387"/>
      <c r="Q68" s="387"/>
      <c r="R68" s="387"/>
      <c r="S68" s="387"/>
      <c r="T68" s="387"/>
      <c r="U68" s="387"/>
      <c r="V68" s="387"/>
      <c r="W68" s="387"/>
      <c r="X68" s="387"/>
      <c r="Y68" s="387"/>
      <c r="Z68" s="387"/>
      <c r="AA68" s="387"/>
      <c r="AB68" s="387"/>
      <c r="AC68" s="387"/>
      <c r="AD68" s="387"/>
      <c r="AE68" s="387"/>
      <c r="AF68" s="387"/>
      <c r="AG68" s="387"/>
      <c r="AH68" s="387"/>
      <c r="AI68" s="387"/>
      <c r="AJ68" s="387"/>
      <c r="AK68" s="387"/>
      <c r="AL68" s="387"/>
      <c r="AM68" s="387"/>
      <c r="AN68" s="387"/>
      <c r="AO68" s="387"/>
      <c r="AP68" s="387"/>
      <c r="AQ68" s="387"/>
      <c r="AR68" s="388"/>
    </row>
    <row r="70" spans="3:44" ht="18" customHeight="1">
      <c r="C70" s="389" t="s">
        <v>100</v>
      </c>
      <c r="D70" s="390"/>
      <c r="E70" s="390"/>
      <c r="F70" s="390"/>
      <c r="G70" s="390"/>
      <c r="H70" s="390"/>
      <c r="I70" s="390"/>
      <c r="J70" s="390"/>
      <c r="K70" s="390"/>
      <c r="L70" s="390"/>
      <c r="M70" s="390"/>
      <c r="N70" s="390"/>
      <c r="O70" s="390"/>
      <c r="P70" s="390"/>
      <c r="Q70" s="390"/>
      <c r="R70" s="390"/>
      <c r="S70" s="390"/>
      <c r="T70" s="390"/>
      <c r="U70" s="390"/>
      <c r="V70" s="390"/>
      <c r="W70" s="390"/>
      <c r="X70" s="390"/>
      <c r="Y70" s="390"/>
      <c r="Z70" s="390"/>
      <c r="AA70" s="391"/>
      <c r="AB70" s="392" t="str">
        <f>[4]C.UNIT.SERV.!$E$5</f>
        <v>DATA-BASE:      MAIO/2011/PR</v>
      </c>
      <c r="AC70" s="393"/>
      <c r="AD70" s="393"/>
      <c r="AE70" s="393"/>
      <c r="AF70" s="393"/>
      <c r="AG70" s="393"/>
      <c r="AH70" s="393"/>
      <c r="AI70" s="394"/>
      <c r="AJ70" s="392"/>
      <c r="AK70" s="393"/>
      <c r="AL70" s="393"/>
      <c r="AM70" s="393"/>
      <c r="AN70" s="393"/>
      <c r="AO70" s="393"/>
      <c r="AP70" s="393"/>
      <c r="AQ70" s="393"/>
      <c r="AR70" s="401"/>
    </row>
    <row r="71" spans="3:44" ht="18" customHeight="1">
      <c r="C71" s="404" t="s">
        <v>101</v>
      </c>
      <c r="D71" s="405"/>
      <c r="E71" s="405"/>
      <c r="F71" s="405"/>
      <c r="G71" s="405" t="s">
        <v>283</v>
      </c>
      <c r="H71" s="405"/>
      <c r="I71" s="405"/>
      <c r="J71" s="405"/>
      <c r="K71" s="405"/>
      <c r="L71" s="405"/>
      <c r="M71" s="405"/>
      <c r="N71" s="405"/>
      <c r="O71" s="405"/>
      <c r="P71" s="405"/>
      <c r="Q71" s="405"/>
      <c r="R71" s="405"/>
      <c r="S71" s="405"/>
      <c r="T71" s="405"/>
      <c r="U71" s="405"/>
      <c r="V71" s="405"/>
      <c r="W71" s="405"/>
      <c r="X71" s="405"/>
      <c r="Y71" s="405"/>
      <c r="Z71" s="405"/>
      <c r="AA71" s="406"/>
      <c r="AB71" s="395"/>
      <c r="AC71" s="396"/>
      <c r="AD71" s="396"/>
      <c r="AE71" s="396"/>
      <c r="AF71" s="396"/>
      <c r="AG71" s="396"/>
      <c r="AH71" s="396"/>
      <c r="AI71" s="397"/>
      <c r="AJ71" s="395"/>
      <c r="AK71" s="396"/>
      <c r="AL71" s="396"/>
      <c r="AM71" s="396"/>
      <c r="AN71" s="396"/>
      <c r="AO71" s="396"/>
      <c r="AP71" s="396"/>
      <c r="AQ71" s="396"/>
      <c r="AR71" s="402"/>
    </row>
    <row r="72" spans="3:44" ht="18" customHeight="1">
      <c r="C72" s="404" t="s">
        <v>102</v>
      </c>
      <c r="D72" s="405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5"/>
      <c r="Q72" s="405"/>
      <c r="R72" s="405"/>
      <c r="S72" s="405"/>
      <c r="T72" s="405"/>
      <c r="U72" s="405"/>
      <c r="V72" s="405"/>
      <c r="W72" s="405"/>
      <c r="X72" s="405"/>
      <c r="Y72" s="405"/>
      <c r="Z72" s="405"/>
      <c r="AA72" s="406"/>
      <c r="AB72" s="395"/>
      <c r="AC72" s="396"/>
      <c r="AD72" s="396"/>
      <c r="AE72" s="396"/>
      <c r="AF72" s="396"/>
      <c r="AG72" s="396"/>
      <c r="AH72" s="396"/>
      <c r="AI72" s="397"/>
      <c r="AJ72" s="395"/>
      <c r="AK72" s="396"/>
      <c r="AL72" s="396"/>
      <c r="AM72" s="396"/>
      <c r="AN72" s="396"/>
      <c r="AO72" s="396"/>
      <c r="AP72" s="396"/>
      <c r="AQ72" s="396"/>
      <c r="AR72" s="402"/>
    </row>
    <row r="73" spans="3:44" ht="18" customHeight="1">
      <c r="C73" s="407"/>
      <c r="D73" s="408"/>
      <c r="E73" s="408"/>
      <c r="F73" s="408"/>
      <c r="G73" s="408"/>
      <c r="H73" s="408"/>
      <c r="I73" s="408"/>
      <c r="J73" s="408"/>
      <c r="K73" s="408"/>
      <c r="L73" s="408"/>
      <c r="M73" s="408"/>
      <c r="N73" s="408"/>
      <c r="O73" s="408"/>
      <c r="P73" s="408"/>
      <c r="Q73" s="408"/>
      <c r="R73" s="408"/>
      <c r="S73" s="408"/>
      <c r="T73" s="408"/>
      <c r="U73" s="408"/>
      <c r="V73" s="408"/>
      <c r="W73" s="408"/>
      <c r="X73" s="408"/>
      <c r="Y73" s="408"/>
      <c r="Z73" s="408"/>
      <c r="AA73" s="408"/>
      <c r="AB73" s="398"/>
      <c r="AC73" s="399"/>
      <c r="AD73" s="399"/>
      <c r="AE73" s="399"/>
      <c r="AF73" s="399"/>
      <c r="AG73" s="399"/>
      <c r="AH73" s="399"/>
      <c r="AI73" s="400"/>
      <c r="AJ73" s="398"/>
      <c r="AK73" s="399"/>
      <c r="AL73" s="399"/>
      <c r="AM73" s="399"/>
      <c r="AN73" s="399"/>
      <c r="AO73" s="399"/>
      <c r="AP73" s="399"/>
      <c r="AQ73" s="399"/>
      <c r="AR73" s="403"/>
    </row>
    <row r="75" spans="3:44" ht="18" customHeight="1">
      <c r="C75" s="850" t="s">
        <v>64</v>
      </c>
      <c r="D75" s="851"/>
      <c r="E75" s="851"/>
      <c r="F75" s="851"/>
      <c r="G75" s="851"/>
      <c r="H75" s="851"/>
      <c r="I75" s="851"/>
      <c r="J75" s="851"/>
      <c r="K75" s="851"/>
      <c r="L75" s="851"/>
      <c r="M75" s="851"/>
      <c r="N75" s="851"/>
      <c r="O75" s="851"/>
      <c r="P75" s="851"/>
      <c r="Q75" s="851"/>
      <c r="R75" s="851"/>
      <c r="S75" s="851"/>
      <c r="T75" s="851"/>
      <c r="U75" s="851"/>
      <c r="V75" s="851"/>
      <c r="W75" s="851"/>
      <c r="X75" s="851"/>
      <c r="Y75" s="851"/>
      <c r="Z75" s="851"/>
      <c r="AA75" s="851"/>
      <c r="AB75" s="851"/>
      <c r="AC75" s="851"/>
      <c r="AD75" s="851"/>
      <c r="AE75" s="851"/>
      <c r="AF75" s="851"/>
      <c r="AG75" s="851"/>
      <c r="AH75" s="851"/>
      <c r="AI75" s="851"/>
      <c r="AJ75" s="851"/>
      <c r="AK75" s="851"/>
      <c r="AL75" s="851"/>
      <c r="AM75" s="851"/>
      <c r="AN75" s="851"/>
      <c r="AO75" s="851"/>
      <c r="AP75" s="851"/>
      <c r="AQ75" s="851"/>
      <c r="AR75" s="852"/>
    </row>
    <row r="76" spans="3:44" ht="18" customHeight="1">
      <c r="C76" s="853"/>
      <c r="D76" s="854"/>
      <c r="E76" s="854"/>
      <c r="F76" s="854"/>
      <c r="G76" s="854"/>
      <c r="H76" s="854"/>
      <c r="I76" s="854"/>
      <c r="J76" s="854"/>
      <c r="K76" s="854"/>
      <c r="L76" s="854"/>
      <c r="M76" s="854"/>
      <c r="N76" s="854"/>
      <c r="O76" s="854"/>
      <c r="P76" s="854"/>
      <c r="Q76" s="854"/>
      <c r="R76" s="854"/>
      <c r="S76" s="854"/>
      <c r="T76" s="854"/>
      <c r="U76" s="854"/>
      <c r="V76" s="854"/>
      <c r="W76" s="854"/>
      <c r="X76" s="854"/>
      <c r="Y76" s="854"/>
      <c r="Z76" s="854"/>
      <c r="AA76" s="854"/>
      <c r="AB76" s="854"/>
      <c r="AC76" s="854"/>
      <c r="AD76" s="854"/>
      <c r="AE76" s="854"/>
      <c r="AF76" s="854"/>
      <c r="AG76" s="854"/>
      <c r="AH76" s="854"/>
      <c r="AI76" s="854"/>
      <c r="AJ76" s="854"/>
      <c r="AK76" s="854"/>
      <c r="AL76" s="854"/>
      <c r="AM76" s="854"/>
      <c r="AN76" s="854"/>
      <c r="AO76" s="854"/>
      <c r="AP76" s="854"/>
      <c r="AQ76" s="854"/>
      <c r="AR76" s="855"/>
    </row>
    <row r="77" spans="3:44" ht="18" customHeight="1">
      <c r="C77" s="856" t="s">
        <v>65</v>
      </c>
      <c r="D77" s="857"/>
      <c r="E77" s="857"/>
      <c r="F77" s="857"/>
      <c r="G77" s="860" t="s">
        <v>650</v>
      </c>
      <c r="H77" s="860"/>
      <c r="I77" s="860"/>
      <c r="J77" s="861"/>
      <c r="K77" s="864" t="s">
        <v>66</v>
      </c>
      <c r="L77" s="865"/>
      <c r="M77" s="865"/>
      <c r="N77" s="865"/>
      <c r="O77" s="522" t="s">
        <v>686</v>
      </c>
      <c r="P77" s="523"/>
      <c r="Q77" s="523"/>
      <c r="R77" s="523"/>
      <c r="S77" s="523"/>
      <c r="T77" s="523"/>
      <c r="U77" s="523"/>
      <c r="V77" s="523"/>
      <c r="W77" s="523"/>
      <c r="X77" s="523"/>
      <c r="Y77" s="523"/>
      <c r="Z77" s="523"/>
      <c r="AA77" s="523"/>
      <c r="AB77" s="523"/>
      <c r="AC77" s="523"/>
      <c r="AD77" s="523"/>
      <c r="AE77" s="523"/>
      <c r="AF77" s="523"/>
      <c r="AG77" s="523"/>
      <c r="AH77" s="523"/>
      <c r="AI77" s="523"/>
      <c r="AJ77" s="523"/>
      <c r="AK77" s="523"/>
      <c r="AL77" s="864" t="s">
        <v>67</v>
      </c>
      <c r="AM77" s="865"/>
      <c r="AN77" s="865"/>
      <c r="AO77" s="865"/>
      <c r="AP77" s="843" t="s">
        <v>246</v>
      </c>
      <c r="AQ77" s="843"/>
      <c r="AR77" s="844"/>
    </row>
    <row r="78" spans="3:44" ht="18" customHeight="1">
      <c r="C78" s="858"/>
      <c r="D78" s="859"/>
      <c r="E78" s="859"/>
      <c r="F78" s="859"/>
      <c r="G78" s="862"/>
      <c r="H78" s="862"/>
      <c r="I78" s="862"/>
      <c r="J78" s="863"/>
      <c r="K78" s="866"/>
      <c r="L78" s="867"/>
      <c r="M78" s="867"/>
      <c r="N78" s="867"/>
      <c r="O78" s="524"/>
      <c r="P78" s="525"/>
      <c r="Q78" s="525"/>
      <c r="R78" s="525"/>
      <c r="S78" s="525"/>
      <c r="T78" s="525"/>
      <c r="U78" s="525"/>
      <c r="V78" s="525"/>
      <c r="W78" s="525"/>
      <c r="X78" s="525"/>
      <c r="Y78" s="525"/>
      <c r="Z78" s="525"/>
      <c r="AA78" s="525"/>
      <c r="AB78" s="525"/>
      <c r="AC78" s="525"/>
      <c r="AD78" s="525"/>
      <c r="AE78" s="525"/>
      <c r="AF78" s="525"/>
      <c r="AG78" s="525"/>
      <c r="AH78" s="525"/>
      <c r="AI78" s="525"/>
      <c r="AJ78" s="525"/>
      <c r="AK78" s="525"/>
      <c r="AL78" s="866"/>
      <c r="AM78" s="867"/>
      <c r="AN78" s="867"/>
      <c r="AO78" s="867"/>
      <c r="AP78" s="845"/>
      <c r="AQ78" s="845"/>
      <c r="AR78" s="846"/>
    </row>
    <row r="80" spans="3:44" ht="18" customHeight="1">
      <c r="C80" s="794" t="s">
        <v>43</v>
      </c>
      <c r="D80" s="774"/>
      <c r="E80" s="775"/>
      <c r="F80" s="773" t="s">
        <v>68</v>
      </c>
      <c r="G80" s="774"/>
      <c r="H80" s="774"/>
      <c r="I80" s="774"/>
      <c r="J80" s="774"/>
      <c r="K80" s="774"/>
      <c r="L80" s="774"/>
      <c r="M80" s="774"/>
      <c r="N80" s="774"/>
      <c r="O80" s="774"/>
      <c r="P80" s="774"/>
      <c r="Q80" s="774"/>
      <c r="R80" s="774"/>
      <c r="S80" s="774"/>
      <c r="T80" s="774"/>
      <c r="U80" s="775"/>
      <c r="V80" s="773" t="s">
        <v>249</v>
      </c>
      <c r="W80" s="774"/>
      <c r="X80" s="775"/>
      <c r="Y80" s="847" t="s">
        <v>69</v>
      </c>
      <c r="Z80" s="848"/>
      <c r="AA80" s="848"/>
      <c r="AB80" s="848"/>
      <c r="AC80" s="848"/>
      <c r="AD80" s="848"/>
      <c r="AE80" s="848"/>
      <c r="AF80" s="849"/>
      <c r="AG80" s="847" t="s">
        <v>70</v>
      </c>
      <c r="AH80" s="848"/>
      <c r="AI80" s="848"/>
      <c r="AJ80" s="848"/>
      <c r="AK80" s="848"/>
      <c r="AL80" s="848"/>
      <c r="AM80" s="848"/>
      <c r="AN80" s="849"/>
      <c r="AO80" s="773" t="s">
        <v>71</v>
      </c>
      <c r="AP80" s="774"/>
      <c r="AQ80" s="774"/>
      <c r="AR80" s="779"/>
    </row>
    <row r="81" spans="3:44" ht="18" customHeight="1">
      <c r="C81" s="795"/>
      <c r="D81" s="777"/>
      <c r="E81" s="778"/>
      <c r="F81" s="776"/>
      <c r="G81" s="777"/>
      <c r="H81" s="777"/>
      <c r="I81" s="777"/>
      <c r="J81" s="777"/>
      <c r="K81" s="777"/>
      <c r="L81" s="777"/>
      <c r="M81" s="777"/>
      <c r="N81" s="777"/>
      <c r="O81" s="777"/>
      <c r="P81" s="777"/>
      <c r="Q81" s="777"/>
      <c r="R81" s="777"/>
      <c r="S81" s="777"/>
      <c r="T81" s="777"/>
      <c r="U81" s="778"/>
      <c r="V81" s="776"/>
      <c r="W81" s="777"/>
      <c r="X81" s="778"/>
      <c r="Y81" s="834" t="s">
        <v>72</v>
      </c>
      <c r="Z81" s="835"/>
      <c r="AA81" s="835"/>
      <c r="AB81" s="836"/>
      <c r="AC81" s="834" t="s">
        <v>73</v>
      </c>
      <c r="AD81" s="835"/>
      <c r="AE81" s="835"/>
      <c r="AF81" s="836"/>
      <c r="AG81" s="834" t="s">
        <v>72</v>
      </c>
      <c r="AH81" s="835"/>
      <c r="AI81" s="835"/>
      <c r="AJ81" s="836"/>
      <c r="AK81" s="834" t="s">
        <v>73</v>
      </c>
      <c r="AL81" s="835"/>
      <c r="AM81" s="835"/>
      <c r="AN81" s="836"/>
      <c r="AO81" s="776"/>
      <c r="AP81" s="777"/>
      <c r="AQ81" s="777"/>
      <c r="AR81" s="780"/>
    </row>
    <row r="82" spans="3:44" ht="18" customHeight="1">
      <c r="C82" s="781" t="s">
        <v>1379</v>
      </c>
      <c r="D82" s="782"/>
      <c r="E82" s="783"/>
      <c r="F82" s="493" t="s">
        <v>468</v>
      </c>
      <c r="G82" s="493"/>
      <c r="H82" s="493"/>
      <c r="I82" s="493"/>
      <c r="J82" s="493"/>
      <c r="K82" s="493"/>
      <c r="L82" s="493"/>
      <c r="M82" s="493"/>
      <c r="N82" s="493"/>
      <c r="O82" s="493"/>
      <c r="P82" s="493"/>
      <c r="Q82" s="493"/>
      <c r="R82" s="493"/>
      <c r="S82" s="493"/>
      <c r="T82" s="493"/>
      <c r="U82" s="493"/>
      <c r="V82" s="837">
        <v>1</v>
      </c>
      <c r="W82" s="838"/>
      <c r="X82" s="839"/>
      <c r="Y82" s="837">
        <v>1</v>
      </c>
      <c r="Z82" s="838"/>
      <c r="AA82" s="838"/>
      <c r="AB82" s="839"/>
      <c r="AC82" s="868">
        <f>1-Y82</f>
        <v>0</v>
      </c>
      <c r="AD82" s="869"/>
      <c r="AE82" s="869"/>
      <c r="AF82" s="870"/>
      <c r="AG82" s="491">
        <f>VLOOKUP(C82,[4]EQUIPAMENTOS!A$1:D$65536,3,FALSE)</f>
        <v>3.1082000000000001</v>
      </c>
      <c r="AH82" s="491"/>
      <c r="AI82" s="491"/>
      <c r="AJ82" s="491"/>
      <c r="AK82" s="491">
        <f>VLOOKUP(C82,[4]EQUIPAMENTOS!A$1:D$65536,4,FALSE)</f>
        <v>0</v>
      </c>
      <c r="AL82" s="491"/>
      <c r="AM82" s="491"/>
      <c r="AN82" s="491"/>
      <c r="AO82" s="491">
        <f>ROUND((Y82*AG82+AC82*AK82)*V82,2)</f>
        <v>3.11</v>
      </c>
      <c r="AP82" s="491"/>
      <c r="AQ82" s="491"/>
      <c r="AR82" s="492"/>
    </row>
    <row r="83" spans="3:44" ht="18" customHeight="1">
      <c r="C83" s="758"/>
      <c r="D83" s="759"/>
      <c r="E83" s="760"/>
      <c r="F83" s="493"/>
      <c r="G83" s="493"/>
      <c r="H83" s="493"/>
      <c r="I83" s="493"/>
      <c r="J83" s="493"/>
      <c r="K83" s="493"/>
      <c r="L83" s="493"/>
      <c r="M83" s="493"/>
      <c r="N83" s="493"/>
      <c r="O83" s="493"/>
      <c r="P83" s="493"/>
      <c r="Q83" s="493"/>
      <c r="R83" s="493"/>
      <c r="S83" s="493"/>
      <c r="T83" s="493"/>
      <c r="U83" s="493"/>
      <c r="V83" s="466"/>
      <c r="W83" s="467"/>
      <c r="X83" s="468"/>
      <c r="Y83" s="466"/>
      <c r="Z83" s="467"/>
      <c r="AA83" s="467"/>
      <c r="AB83" s="468"/>
      <c r="AC83" s="828"/>
      <c r="AD83" s="829"/>
      <c r="AE83" s="829"/>
      <c r="AF83" s="830"/>
      <c r="AG83" s="491"/>
      <c r="AH83" s="491"/>
      <c r="AI83" s="491"/>
      <c r="AJ83" s="491"/>
      <c r="AK83" s="491"/>
      <c r="AL83" s="491"/>
      <c r="AM83" s="491"/>
      <c r="AN83" s="491"/>
      <c r="AO83" s="491"/>
      <c r="AP83" s="491"/>
      <c r="AQ83" s="491"/>
      <c r="AR83" s="492"/>
    </row>
    <row r="84" spans="3:44" ht="18" customHeight="1">
      <c r="C84" s="758"/>
      <c r="D84" s="759"/>
      <c r="E84" s="760"/>
      <c r="F84" s="493"/>
      <c r="G84" s="493"/>
      <c r="H84" s="493"/>
      <c r="I84" s="493"/>
      <c r="J84" s="493"/>
      <c r="K84" s="493"/>
      <c r="L84" s="493"/>
      <c r="M84" s="493"/>
      <c r="N84" s="493"/>
      <c r="O84" s="493"/>
      <c r="P84" s="493"/>
      <c r="Q84" s="493"/>
      <c r="R84" s="493"/>
      <c r="S84" s="493"/>
      <c r="T84" s="493"/>
      <c r="U84" s="493"/>
      <c r="V84" s="466"/>
      <c r="W84" s="467"/>
      <c r="X84" s="468"/>
      <c r="Y84" s="466"/>
      <c r="Z84" s="467"/>
      <c r="AA84" s="467"/>
      <c r="AB84" s="468"/>
      <c r="AC84" s="828"/>
      <c r="AD84" s="829"/>
      <c r="AE84" s="829"/>
      <c r="AF84" s="830"/>
      <c r="AG84" s="491"/>
      <c r="AH84" s="491"/>
      <c r="AI84" s="491"/>
      <c r="AJ84" s="491"/>
      <c r="AK84" s="491"/>
      <c r="AL84" s="491"/>
      <c r="AM84" s="491"/>
      <c r="AN84" s="491"/>
      <c r="AO84" s="491"/>
      <c r="AP84" s="491"/>
      <c r="AQ84" s="491"/>
      <c r="AR84" s="492"/>
    </row>
    <row r="85" spans="3:44" ht="18" customHeight="1">
      <c r="C85" s="758"/>
      <c r="D85" s="759"/>
      <c r="E85" s="760"/>
      <c r="F85" s="493"/>
      <c r="G85" s="493"/>
      <c r="H85" s="493"/>
      <c r="I85" s="493"/>
      <c r="J85" s="493"/>
      <c r="K85" s="493"/>
      <c r="L85" s="493"/>
      <c r="M85" s="493"/>
      <c r="N85" s="493"/>
      <c r="O85" s="493"/>
      <c r="P85" s="493"/>
      <c r="Q85" s="493"/>
      <c r="R85" s="493"/>
      <c r="S85" s="493"/>
      <c r="T85" s="493"/>
      <c r="U85" s="493"/>
      <c r="V85" s="466"/>
      <c r="W85" s="467"/>
      <c r="X85" s="468"/>
      <c r="Y85" s="466"/>
      <c r="Z85" s="467"/>
      <c r="AA85" s="467"/>
      <c r="AB85" s="468"/>
      <c r="AC85" s="828"/>
      <c r="AD85" s="829"/>
      <c r="AE85" s="829"/>
      <c r="AF85" s="830"/>
      <c r="AG85" s="491"/>
      <c r="AH85" s="491"/>
      <c r="AI85" s="491"/>
      <c r="AJ85" s="491"/>
      <c r="AK85" s="491"/>
      <c r="AL85" s="491"/>
      <c r="AM85" s="491"/>
      <c r="AN85" s="491"/>
      <c r="AO85" s="491"/>
      <c r="AP85" s="491"/>
      <c r="AQ85" s="491"/>
      <c r="AR85" s="492"/>
    </row>
    <row r="86" spans="3:44" ht="18" customHeight="1">
      <c r="C86" s="758"/>
      <c r="D86" s="759"/>
      <c r="E86" s="760"/>
      <c r="F86" s="493"/>
      <c r="G86" s="493"/>
      <c r="H86" s="493"/>
      <c r="I86" s="493"/>
      <c r="J86" s="493"/>
      <c r="K86" s="493"/>
      <c r="L86" s="493"/>
      <c r="M86" s="493"/>
      <c r="N86" s="493"/>
      <c r="O86" s="493"/>
      <c r="P86" s="493"/>
      <c r="Q86" s="493"/>
      <c r="R86" s="493"/>
      <c r="S86" s="493"/>
      <c r="T86" s="493"/>
      <c r="U86" s="493"/>
      <c r="V86" s="466"/>
      <c r="W86" s="467"/>
      <c r="X86" s="468"/>
      <c r="Y86" s="466"/>
      <c r="Z86" s="467"/>
      <c r="AA86" s="467"/>
      <c r="AB86" s="468"/>
      <c r="AC86" s="828"/>
      <c r="AD86" s="829"/>
      <c r="AE86" s="829"/>
      <c r="AF86" s="830"/>
      <c r="AG86" s="491"/>
      <c r="AH86" s="491"/>
      <c r="AI86" s="491"/>
      <c r="AJ86" s="491"/>
      <c r="AK86" s="491"/>
      <c r="AL86" s="491"/>
      <c r="AM86" s="491"/>
      <c r="AN86" s="491"/>
      <c r="AO86" s="491"/>
      <c r="AP86" s="491"/>
      <c r="AQ86" s="491"/>
      <c r="AR86" s="492"/>
    </row>
    <row r="87" spans="3:44" ht="18" customHeight="1">
      <c r="C87" s="758"/>
      <c r="D87" s="759"/>
      <c r="E87" s="760"/>
      <c r="F87" s="493"/>
      <c r="G87" s="493"/>
      <c r="H87" s="493"/>
      <c r="I87" s="493"/>
      <c r="J87" s="493"/>
      <c r="K87" s="493"/>
      <c r="L87" s="493"/>
      <c r="M87" s="493"/>
      <c r="N87" s="493"/>
      <c r="O87" s="493"/>
      <c r="P87" s="493"/>
      <c r="Q87" s="493"/>
      <c r="R87" s="493"/>
      <c r="S87" s="493"/>
      <c r="T87" s="493"/>
      <c r="U87" s="493"/>
      <c r="V87" s="466"/>
      <c r="W87" s="467"/>
      <c r="X87" s="468"/>
      <c r="Y87" s="466"/>
      <c r="Z87" s="467"/>
      <c r="AA87" s="467"/>
      <c r="AB87" s="468"/>
      <c r="AC87" s="828"/>
      <c r="AD87" s="829"/>
      <c r="AE87" s="829"/>
      <c r="AF87" s="830"/>
      <c r="AG87" s="491"/>
      <c r="AH87" s="491"/>
      <c r="AI87" s="491"/>
      <c r="AJ87" s="491"/>
      <c r="AK87" s="491"/>
      <c r="AL87" s="491"/>
      <c r="AM87" s="491"/>
      <c r="AN87" s="491"/>
      <c r="AO87" s="491"/>
      <c r="AP87" s="491"/>
      <c r="AQ87" s="491"/>
      <c r="AR87" s="492"/>
    </row>
    <row r="88" spans="3:44" ht="18" customHeight="1">
      <c r="C88" s="758"/>
      <c r="D88" s="759"/>
      <c r="E88" s="760"/>
      <c r="F88" s="796"/>
      <c r="G88" s="797"/>
      <c r="H88" s="797"/>
      <c r="I88" s="797"/>
      <c r="J88" s="797"/>
      <c r="K88" s="797"/>
      <c r="L88" s="797"/>
      <c r="M88" s="797"/>
      <c r="N88" s="797"/>
      <c r="O88" s="797"/>
      <c r="P88" s="797"/>
      <c r="Q88" s="797"/>
      <c r="R88" s="797"/>
      <c r="S88" s="797"/>
      <c r="T88" s="797"/>
      <c r="U88" s="798"/>
      <c r="V88" s="466"/>
      <c r="W88" s="467"/>
      <c r="X88" s="468"/>
      <c r="Y88" s="466"/>
      <c r="Z88" s="467"/>
      <c r="AA88" s="467"/>
      <c r="AB88" s="468"/>
      <c r="AC88" s="828"/>
      <c r="AD88" s="829"/>
      <c r="AE88" s="829"/>
      <c r="AF88" s="830"/>
      <c r="AG88" s="466"/>
      <c r="AH88" s="467"/>
      <c r="AI88" s="467"/>
      <c r="AJ88" s="468"/>
      <c r="AK88" s="466"/>
      <c r="AL88" s="467"/>
      <c r="AM88" s="467"/>
      <c r="AN88" s="468"/>
      <c r="AO88" s="466"/>
      <c r="AP88" s="467"/>
      <c r="AQ88" s="467"/>
      <c r="AR88" s="823"/>
    </row>
    <row r="89" spans="3:44" ht="18" customHeight="1">
      <c r="C89" s="758"/>
      <c r="D89" s="759"/>
      <c r="E89" s="760"/>
      <c r="F89" s="796"/>
      <c r="G89" s="797"/>
      <c r="H89" s="797"/>
      <c r="I89" s="797"/>
      <c r="J89" s="797"/>
      <c r="K89" s="797"/>
      <c r="L89" s="797"/>
      <c r="M89" s="797"/>
      <c r="N89" s="797"/>
      <c r="O89" s="797"/>
      <c r="P89" s="797"/>
      <c r="Q89" s="797"/>
      <c r="R89" s="797"/>
      <c r="S89" s="797"/>
      <c r="T89" s="797"/>
      <c r="U89" s="798"/>
      <c r="V89" s="466"/>
      <c r="W89" s="467"/>
      <c r="X89" s="468"/>
      <c r="Y89" s="466"/>
      <c r="Z89" s="467"/>
      <c r="AA89" s="467"/>
      <c r="AB89" s="468"/>
      <c r="AC89" s="828"/>
      <c r="AD89" s="829"/>
      <c r="AE89" s="829"/>
      <c r="AF89" s="830"/>
      <c r="AG89" s="466"/>
      <c r="AH89" s="467"/>
      <c r="AI89" s="467"/>
      <c r="AJ89" s="468"/>
      <c r="AK89" s="466"/>
      <c r="AL89" s="467"/>
      <c r="AM89" s="467"/>
      <c r="AN89" s="468"/>
      <c r="AO89" s="466"/>
      <c r="AP89" s="467"/>
      <c r="AQ89" s="467"/>
      <c r="AR89" s="823"/>
    </row>
    <row r="90" spans="3:44" ht="18" customHeight="1">
      <c r="C90" s="743"/>
      <c r="D90" s="744"/>
      <c r="E90" s="744"/>
      <c r="F90" s="744"/>
      <c r="G90" s="744"/>
      <c r="H90" s="744"/>
      <c r="I90" s="744"/>
      <c r="J90" s="744"/>
      <c r="K90" s="744"/>
      <c r="L90" s="744"/>
      <c r="M90" s="744"/>
      <c r="N90" s="744"/>
      <c r="O90" s="744"/>
      <c r="P90" s="744"/>
      <c r="Q90" s="744"/>
      <c r="R90" s="744"/>
      <c r="S90" s="744"/>
      <c r="T90" s="744"/>
      <c r="U90" s="744"/>
      <c r="V90" s="744"/>
      <c r="W90" s="744"/>
      <c r="X90" s="824"/>
      <c r="Y90" s="825" t="s">
        <v>74</v>
      </c>
      <c r="Z90" s="826"/>
      <c r="AA90" s="826"/>
      <c r="AB90" s="826"/>
      <c r="AC90" s="826"/>
      <c r="AD90" s="826"/>
      <c r="AE90" s="826"/>
      <c r="AF90" s="826"/>
      <c r="AG90" s="826"/>
      <c r="AH90" s="826"/>
      <c r="AI90" s="826"/>
      <c r="AJ90" s="826"/>
      <c r="AK90" s="826"/>
      <c r="AL90" s="826"/>
      <c r="AM90" s="826"/>
      <c r="AN90" s="827"/>
      <c r="AO90" s="477">
        <f>SUM(AO82:AR89)</f>
        <v>3.11</v>
      </c>
      <c r="AP90" s="746"/>
      <c r="AQ90" s="746"/>
      <c r="AR90" s="747"/>
    </row>
    <row r="92" spans="3:44" ht="18" customHeight="1">
      <c r="C92" s="794" t="s">
        <v>43</v>
      </c>
      <c r="D92" s="774"/>
      <c r="E92" s="775"/>
      <c r="F92" s="773" t="s">
        <v>75</v>
      </c>
      <c r="G92" s="774"/>
      <c r="H92" s="774"/>
      <c r="I92" s="774"/>
      <c r="J92" s="774"/>
      <c r="K92" s="774"/>
      <c r="L92" s="774"/>
      <c r="M92" s="774"/>
      <c r="N92" s="774"/>
      <c r="O92" s="774"/>
      <c r="P92" s="774"/>
      <c r="Q92" s="774"/>
      <c r="R92" s="774"/>
      <c r="S92" s="774"/>
      <c r="T92" s="774"/>
      <c r="U92" s="774"/>
      <c r="V92" s="774"/>
      <c r="W92" s="774"/>
      <c r="X92" s="774"/>
      <c r="Y92" s="774"/>
      <c r="Z92" s="774"/>
      <c r="AA92" s="774"/>
      <c r="AB92" s="775"/>
      <c r="AC92" s="773" t="s">
        <v>76</v>
      </c>
      <c r="AD92" s="774"/>
      <c r="AE92" s="774"/>
      <c r="AF92" s="775"/>
      <c r="AG92" s="773" t="s">
        <v>249</v>
      </c>
      <c r="AH92" s="774"/>
      <c r="AI92" s="774"/>
      <c r="AJ92" s="775"/>
      <c r="AK92" s="773" t="s">
        <v>77</v>
      </c>
      <c r="AL92" s="774"/>
      <c r="AM92" s="774"/>
      <c r="AN92" s="775"/>
      <c r="AO92" s="773" t="s">
        <v>71</v>
      </c>
      <c r="AP92" s="774"/>
      <c r="AQ92" s="774"/>
      <c r="AR92" s="779"/>
    </row>
    <row r="93" spans="3:44" ht="18" customHeight="1">
      <c r="C93" s="795"/>
      <c r="D93" s="777"/>
      <c r="E93" s="778"/>
      <c r="F93" s="776"/>
      <c r="G93" s="777"/>
      <c r="H93" s="777"/>
      <c r="I93" s="777"/>
      <c r="J93" s="777"/>
      <c r="K93" s="777"/>
      <c r="L93" s="777"/>
      <c r="M93" s="777"/>
      <c r="N93" s="777"/>
      <c r="O93" s="777"/>
      <c r="P93" s="777"/>
      <c r="Q93" s="777"/>
      <c r="R93" s="777"/>
      <c r="S93" s="777"/>
      <c r="T93" s="777"/>
      <c r="U93" s="777"/>
      <c r="V93" s="777"/>
      <c r="W93" s="777"/>
      <c r="X93" s="777"/>
      <c r="Y93" s="777"/>
      <c r="Z93" s="777"/>
      <c r="AA93" s="777"/>
      <c r="AB93" s="778"/>
      <c r="AC93" s="776"/>
      <c r="AD93" s="777"/>
      <c r="AE93" s="777"/>
      <c r="AF93" s="778"/>
      <c r="AG93" s="776"/>
      <c r="AH93" s="777"/>
      <c r="AI93" s="777"/>
      <c r="AJ93" s="778"/>
      <c r="AK93" s="776"/>
      <c r="AL93" s="777"/>
      <c r="AM93" s="777"/>
      <c r="AN93" s="778"/>
      <c r="AO93" s="776"/>
      <c r="AP93" s="777"/>
      <c r="AQ93" s="777"/>
      <c r="AR93" s="780"/>
    </row>
    <row r="94" spans="3:44" ht="18" customHeight="1">
      <c r="C94" s="781" t="s">
        <v>940</v>
      </c>
      <c r="D94" s="782"/>
      <c r="E94" s="783"/>
      <c r="F94" s="493" t="s">
        <v>105</v>
      </c>
      <c r="G94" s="493"/>
      <c r="H94" s="493"/>
      <c r="I94" s="493"/>
      <c r="J94" s="493"/>
      <c r="K94" s="493"/>
      <c r="L94" s="493"/>
      <c r="M94" s="493"/>
      <c r="N94" s="493"/>
      <c r="O94" s="493"/>
      <c r="P94" s="493"/>
      <c r="Q94" s="493"/>
      <c r="R94" s="493"/>
      <c r="S94" s="493"/>
      <c r="T94" s="493"/>
      <c r="U94" s="493"/>
      <c r="V94" s="493"/>
      <c r="W94" s="493"/>
      <c r="X94" s="493"/>
      <c r="Y94" s="493"/>
      <c r="Z94" s="493"/>
      <c r="AA94" s="493"/>
      <c r="AB94" s="493"/>
      <c r="AC94" s="770"/>
      <c r="AD94" s="771"/>
      <c r="AE94" s="771"/>
      <c r="AF94" s="790"/>
      <c r="AG94" s="770">
        <v>1</v>
      </c>
      <c r="AH94" s="771"/>
      <c r="AI94" s="771"/>
      <c r="AJ94" s="790"/>
      <c r="AK94" s="449">
        <f>VLOOKUP(C94,[4]MÃODEOBRA!A$1:D$65536,4,FALSE)</f>
        <v>22.98488</v>
      </c>
      <c r="AL94" s="449"/>
      <c r="AM94" s="449"/>
      <c r="AN94" s="449"/>
      <c r="AO94" s="491">
        <f>ROUND(AG94*AK94,2)</f>
        <v>22.98</v>
      </c>
      <c r="AP94" s="491"/>
      <c r="AQ94" s="491"/>
      <c r="AR94" s="492"/>
    </row>
    <row r="95" spans="3:44" ht="18" customHeight="1">
      <c r="C95" s="758" t="s">
        <v>1380</v>
      </c>
      <c r="D95" s="759"/>
      <c r="E95" s="760"/>
      <c r="F95" s="493" t="s">
        <v>469</v>
      </c>
      <c r="G95" s="493"/>
      <c r="H95" s="493"/>
      <c r="I95" s="493"/>
      <c r="J95" s="493"/>
      <c r="K95" s="493"/>
      <c r="L95" s="493"/>
      <c r="M95" s="493"/>
      <c r="N95" s="493"/>
      <c r="O95" s="493"/>
      <c r="P95" s="493"/>
      <c r="Q95" s="493"/>
      <c r="R95" s="493"/>
      <c r="S95" s="493"/>
      <c r="T95" s="493"/>
      <c r="U95" s="493"/>
      <c r="V95" s="493"/>
      <c r="W95" s="493"/>
      <c r="X95" s="493"/>
      <c r="Y95" s="493"/>
      <c r="Z95" s="493"/>
      <c r="AA95" s="493"/>
      <c r="AB95" s="493"/>
      <c r="AC95" s="740"/>
      <c r="AD95" s="741"/>
      <c r="AE95" s="741"/>
      <c r="AF95" s="757"/>
      <c r="AG95" s="740">
        <v>1</v>
      </c>
      <c r="AH95" s="741"/>
      <c r="AI95" s="741"/>
      <c r="AJ95" s="757"/>
      <c r="AK95" s="449">
        <f>VLOOKUP(C95,[4]MÃODEOBRA!A$1:D$65536,4,FALSE)</f>
        <v>11.156079999999999</v>
      </c>
      <c r="AL95" s="449"/>
      <c r="AM95" s="449"/>
      <c r="AN95" s="449"/>
      <c r="AO95" s="491">
        <f>ROUND(AG95*AK95,2)</f>
        <v>11.16</v>
      </c>
      <c r="AP95" s="491"/>
      <c r="AQ95" s="491"/>
      <c r="AR95" s="492"/>
    </row>
    <row r="96" spans="3:44" ht="18" customHeight="1">
      <c r="C96" s="758" t="s">
        <v>943</v>
      </c>
      <c r="D96" s="759"/>
      <c r="E96" s="760"/>
      <c r="F96" s="796" t="s">
        <v>128</v>
      </c>
      <c r="G96" s="797"/>
      <c r="H96" s="797"/>
      <c r="I96" s="797"/>
      <c r="J96" s="797"/>
      <c r="K96" s="797"/>
      <c r="L96" s="797"/>
      <c r="M96" s="797"/>
      <c r="N96" s="797"/>
      <c r="O96" s="797"/>
      <c r="P96" s="797"/>
      <c r="Q96" s="797"/>
      <c r="R96" s="797"/>
      <c r="S96" s="797"/>
      <c r="T96" s="797"/>
      <c r="U96" s="797"/>
      <c r="V96" s="797"/>
      <c r="W96" s="797"/>
      <c r="X96" s="797"/>
      <c r="Y96" s="797"/>
      <c r="Z96" s="797"/>
      <c r="AA96" s="797"/>
      <c r="AB96" s="798"/>
      <c r="AC96" s="740"/>
      <c r="AD96" s="741"/>
      <c r="AE96" s="741"/>
      <c r="AF96" s="757"/>
      <c r="AG96" s="740">
        <v>2</v>
      </c>
      <c r="AH96" s="741"/>
      <c r="AI96" s="741"/>
      <c r="AJ96" s="757"/>
      <c r="AK96" s="449">
        <f>VLOOKUP(C96,[4]MÃODEOBRA!A$1:D$65536,4,FALSE)</f>
        <v>8.6333500000000001</v>
      </c>
      <c r="AL96" s="449"/>
      <c r="AM96" s="449"/>
      <c r="AN96" s="449"/>
      <c r="AO96" s="491">
        <f>ROUND(AG96*AK96,2)</f>
        <v>17.27</v>
      </c>
      <c r="AP96" s="491"/>
      <c r="AQ96" s="491"/>
      <c r="AR96" s="492"/>
    </row>
    <row r="97" spans="3:44" ht="18" customHeight="1">
      <c r="C97" s="758"/>
      <c r="D97" s="759"/>
      <c r="E97" s="760"/>
      <c r="F97" s="796"/>
      <c r="G97" s="797"/>
      <c r="H97" s="797"/>
      <c r="I97" s="797"/>
      <c r="J97" s="797"/>
      <c r="K97" s="797"/>
      <c r="L97" s="797"/>
      <c r="M97" s="797"/>
      <c r="N97" s="797"/>
      <c r="O97" s="797"/>
      <c r="P97" s="797"/>
      <c r="Q97" s="797"/>
      <c r="R97" s="797"/>
      <c r="S97" s="797"/>
      <c r="T97" s="797"/>
      <c r="U97" s="797"/>
      <c r="V97" s="797"/>
      <c r="W97" s="797"/>
      <c r="X97" s="797"/>
      <c r="Y97" s="797"/>
      <c r="Z97" s="797"/>
      <c r="AA97" s="797"/>
      <c r="AB97" s="798"/>
      <c r="AC97" s="740"/>
      <c r="AD97" s="741"/>
      <c r="AE97" s="741"/>
      <c r="AF97" s="757"/>
      <c r="AG97" s="740"/>
      <c r="AH97" s="741"/>
      <c r="AI97" s="741"/>
      <c r="AJ97" s="757"/>
      <c r="AK97" s="740"/>
      <c r="AL97" s="741"/>
      <c r="AM97" s="741"/>
      <c r="AN97" s="757"/>
      <c r="AO97" s="466"/>
      <c r="AP97" s="467"/>
      <c r="AQ97" s="467"/>
      <c r="AR97" s="823"/>
    </row>
    <row r="98" spans="3:44" ht="18" customHeight="1">
      <c r="C98" s="758"/>
      <c r="D98" s="759"/>
      <c r="E98" s="760"/>
      <c r="F98" s="796"/>
      <c r="G98" s="797"/>
      <c r="H98" s="797"/>
      <c r="I98" s="797"/>
      <c r="J98" s="797"/>
      <c r="K98" s="797"/>
      <c r="L98" s="797"/>
      <c r="M98" s="797"/>
      <c r="N98" s="797"/>
      <c r="O98" s="797"/>
      <c r="P98" s="797"/>
      <c r="Q98" s="797"/>
      <c r="R98" s="797"/>
      <c r="S98" s="797"/>
      <c r="T98" s="797"/>
      <c r="U98" s="797"/>
      <c r="V98" s="797"/>
      <c r="W98" s="797"/>
      <c r="X98" s="797"/>
      <c r="Y98" s="797"/>
      <c r="Z98" s="797"/>
      <c r="AA98" s="797"/>
      <c r="AB98" s="798"/>
      <c r="AC98" s="740"/>
      <c r="AD98" s="741"/>
      <c r="AE98" s="741"/>
      <c r="AF98" s="757"/>
      <c r="AG98" s="740"/>
      <c r="AH98" s="741"/>
      <c r="AI98" s="741"/>
      <c r="AJ98" s="757"/>
      <c r="AK98" s="740"/>
      <c r="AL98" s="741"/>
      <c r="AM98" s="741"/>
      <c r="AN98" s="757"/>
      <c r="AO98" s="466"/>
      <c r="AP98" s="467"/>
      <c r="AQ98" s="467"/>
      <c r="AR98" s="823"/>
    </row>
    <row r="99" spans="3:44" ht="18" customHeight="1">
      <c r="C99" s="758"/>
      <c r="D99" s="759"/>
      <c r="E99" s="760"/>
      <c r="F99" s="796"/>
      <c r="G99" s="797"/>
      <c r="H99" s="797"/>
      <c r="I99" s="797"/>
      <c r="J99" s="797"/>
      <c r="K99" s="797"/>
      <c r="L99" s="797"/>
      <c r="M99" s="797"/>
      <c r="N99" s="797"/>
      <c r="O99" s="797"/>
      <c r="P99" s="797"/>
      <c r="Q99" s="797"/>
      <c r="R99" s="797"/>
      <c r="S99" s="797"/>
      <c r="T99" s="797"/>
      <c r="U99" s="797"/>
      <c r="V99" s="797"/>
      <c r="W99" s="797"/>
      <c r="X99" s="797"/>
      <c r="Y99" s="797"/>
      <c r="Z99" s="797"/>
      <c r="AA99" s="797"/>
      <c r="AB99" s="798"/>
      <c r="AC99" s="740"/>
      <c r="AD99" s="741"/>
      <c r="AE99" s="741"/>
      <c r="AF99" s="757"/>
      <c r="AG99" s="740"/>
      <c r="AH99" s="741"/>
      <c r="AI99" s="741"/>
      <c r="AJ99" s="757"/>
      <c r="AK99" s="740"/>
      <c r="AL99" s="741"/>
      <c r="AM99" s="741"/>
      <c r="AN99" s="757"/>
      <c r="AO99" s="466"/>
      <c r="AP99" s="467"/>
      <c r="AQ99" s="467"/>
      <c r="AR99" s="823"/>
    </row>
    <row r="100" spans="3:44" ht="18" customHeight="1">
      <c r="C100" s="758"/>
      <c r="D100" s="759"/>
      <c r="E100" s="760"/>
      <c r="F100" s="796"/>
      <c r="G100" s="797"/>
      <c r="H100" s="797"/>
      <c r="I100" s="797"/>
      <c r="J100" s="797"/>
      <c r="K100" s="797"/>
      <c r="L100" s="797"/>
      <c r="M100" s="797"/>
      <c r="N100" s="797"/>
      <c r="O100" s="797"/>
      <c r="P100" s="797"/>
      <c r="Q100" s="797"/>
      <c r="R100" s="797"/>
      <c r="S100" s="797"/>
      <c r="T100" s="797"/>
      <c r="U100" s="797"/>
      <c r="V100" s="797"/>
      <c r="W100" s="797"/>
      <c r="X100" s="797"/>
      <c r="Y100" s="797"/>
      <c r="Z100" s="797"/>
      <c r="AA100" s="797"/>
      <c r="AB100" s="798"/>
      <c r="AC100" s="740"/>
      <c r="AD100" s="741"/>
      <c r="AE100" s="741"/>
      <c r="AF100" s="757"/>
      <c r="AG100" s="740"/>
      <c r="AH100" s="741"/>
      <c r="AI100" s="741"/>
      <c r="AJ100" s="757"/>
      <c r="AK100" s="740"/>
      <c r="AL100" s="741"/>
      <c r="AM100" s="741"/>
      <c r="AN100" s="757"/>
      <c r="AO100" s="466"/>
      <c r="AP100" s="467"/>
      <c r="AQ100" s="467"/>
      <c r="AR100" s="823"/>
    </row>
    <row r="101" spans="3:44" ht="18" customHeight="1">
      <c r="C101" s="758"/>
      <c r="D101" s="759"/>
      <c r="E101" s="760"/>
      <c r="F101" s="796"/>
      <c r="G101" s="797"/>
      <c r="H101" s="797"/>
      <c r="I101" s="797"/>
      <c r="J101" s="797"/>
      <c r="K101" s="797"/>
      <c r="L101" s="797"/>
      <c r="M101" s="797"/>
      <c r="N101" s="797"/>
      <c r="O101" s="797"/>
      <c r="P101" s="797"/>
      <c r="Q101" s="797"/>
      <c r="R101" s="797"/>
      <c r="S101" s="797"/>
      <c r="T101" s="797"/>
      <c r="U101" s="797"/>
      <c r="V101" s="797"/>
      <c r="W101" s="797"/>
      <c r="X101" s="797"/>
      <c r="Y101" s="797"/>
      <c r="Z101" s="797"/>
      <c r="AA101" s="797"/>
      <c r="AB101" s="798"/>
      <c r="AC101" s="740"/>
      <c r="AD101" s="741"/>
      <c r="AE101" s="741"/>
      <c r="AF101" s="757"/>
      <c r="AG101" s="740"/>
      <c r="AH101" s="741"/>
      <c r="AI101" s="741"/>
      <c r="AJ101" s="757"/>
      <c r="AK101" s="740"/>
      <c r="AL101" s="741"/>
      <c r="AM101" s="741"/>
      <c r="AN101" s="757"/>
      <c r="AO101" s="466"/>
      <c r="AP101" s="467"/>
      <c r="AQ101" s="467"/>
      <c r="AR101" s="823"/>
    </row>
    <row r="102" spans="3:44" ht="18" customHeight="1">
      <c r="C102" s="814"/>
      <c r="D102" s="815"/>
      <c r="E102" s="815"/>
      <c r="F102" s="815"/>
      <c r="G102" s="815"/>
      <c r="H102" s="815"/>
      <c r="I102" s="815"/>
      <c r="J102" s="815"/>
      <c r="K102" s="815"/>
      <c r="L102" s="815"/>
      <c r="M102" s="815"/>
      <c r="N102" s="815"/>
      <c r="O102" s="815"/>
      <c r="P102" s="815"/>
      <c r="Q102" s="815"/>
      <c r="R102" s="815"/>
      <c r="S102" s="815"/>
      <c r="T102" s="815"/>
      <c r="U102" s="815"/>
      <c r="V102" s="815"/>
      <c r="W102" s="815"/>
      <c r="X102" s="815"/>
      <c r="Y102" s="816" t="s">
        <v>78</v>
      </c>
      <c r="Z102" s="816"/>
      <c r="AA102" s="816"/>
      <c r="AB102" s="816"/>
      <c r="AC102" s="816"/>
      <c r="AD102" s="816"/>
      <c r="AE102" s="816"/>
      <c r="AF102" s="483"/>
      <c r="AG102" s="817" t="s">
        <v>267</v>
      </c>
      <c r="AH102" s="818"/>
      <c r="AI102" s="818"/>
      <c r="AJ102" s="819"/>
      <c r="AK102" s="466">
        <f>SUM(AO94:AR101)</f>
        <v>51.41</v>
      </c>
      <c r="AL102" s="467"/>
      <c r="AM102" s="467"/>
      <c r="AN102" s="468"/>
      <c r="AO102" s="820">
        <f>ROUND(AG102*AK102,2)</f>
        <v>10.54</v>
      </c>
      <c r="AP102" s="821"/>
      <c r="AQ102" s="821"/>
      <c r="AR102" s="822"/>
    </row>
    <row r="103" spans="3:44" ht="18" customHeight="1">
      <c r="C103" s="743"/>
      <c r="D103" s="744"/>
      <c r="E103" s="744"/>
      <c r="F103" s="744"/>
      <c r="G103" s="744"/>
      <c r="H103" s="744"/>
      <c r="I103" s="744"/>
      <c r="J103" s="744"/>
      <c r="K103" s="744"/>
      <c r="L103" s="744"/>
      <c r="M103" s="744"/>
      <c r="N103" s="744"/>
      <c r="O103" s="744"/>
      <c r="P103" s="744"/>
      <c r="Q103" s="744"/>
      <c r="R103" s="744"/>
      <c r="S103" s="744"/>
      <c r="T103" s="744"/>
      <c r="U103" s="744"/>
      <c r="V103" s="744"/>
      <c r="W103" s="744"/>
      <c r="X103" s="744"/>
      <c r="Y103" s="745" t="s">
        <v>79</v>
      </c>
      <c r="Z103" s="745"/>
      <c r="AA103" s="745"/>
      <c r="AB103" s="745"/>
      <c r="AC103" s="745"/>
      <c r="AD103" s="745"/>
      <c r="AE103" s="745"/>
      <c r="AF103" s="745"/>
      <c r="AG103" s="745"/>
      <c r="AH103" s="745"/>
      <c r="AI103" s="745"/>
      <c r="AJ103" s="745"/>
      <c r="AK103" s="745"/>
      <c r="AL103" s="745"/>
      <c r="AM103" s="745"/>
      <c r="AN103" s="430"/>
      <c r="AO103" s="477">
        <f>SUM(AO94:AR102)</f>
        <v>61.949999999999996</v>
      </c>
      <c r="AP103" s="746"/>
      <c r="AQ103" s="746"/>
      <c r="AR103" s="747"/>
    </row>
    <row r="105" spans="3:44" ht="18" customHeight="1">
      <c r="C105" s="802"/>
      <c r="D105" s="803"/>
      <c r="E105" s="803"/>
      <c r="F105" s="803"/>
      <c r="G105" s="803"/>
      <c r="H105" s="803"/>
      <c r="I105" s="803"/>
      <c r="J105" s="803"/>
      <c r="K105" s="803"/>
      <c r="L105" s="803"/>
      <c r="M105" s="803"/>
      <c r="N105" s="803"/>
      <c r="O105" s="803"/>
      <c r="P105" s="803"/>
      <c r="Q105" s="803"/>
      <c r="R105" s="803"/>
      <c r="S105" s="803"/>
      <c r="T105" s="803"/>
      <c r="U105" s="803"/>
      <c r="V105" s="803"/>
      <c r="W105" s="803"/>
      <c r="X105" s="803"/>
      <c r="Y105" s="804" t="s">
        <v>80</v>
      </c>
      <c r="Z105" s="805"/>
      <c r="AA105" s="805"/>
      <c r="AB105" s="805"/>
      <c r="AC105" s="805"/>
      <c r="AD105" s="805"/>
      <c r="AE105" s="805"/>
      <c r="AF105" s="805"/>
      <c r="AG105" s="805"/>
      <c r="AH105" s="805"/>
      <c r="AI105" s="805"/>
      <c r="AJ105" s="805"/>
      <c r="AK105" s="805"/>
      <c r="AL105" s="805"/>
      <c r="AM105" s="805"/>
      <c r="AN105" s="806"/>
      <c r="AO105" s="807">
        <f>AO90+AO103</f>
        <v>65.06</v>
      </c>
      <c r="AP105" s="808"/>
      <c r="AQ105" s="808"/>
      <c r="AR105" s="809"/>
    </row>
    <row r="106" spans="3:44" ht="18" customHeight="1">
      <c r="C106" s="810" t="s">
        <v>81</v>
      </c>
      <c r="D106" s="745"/>
      <c r="E106" s="745"/>
      <c r="F106" s="745"/>
      <c r="G106" s="745"/>
      <c r="H106" s="745"/>
      <c r="I106" s="745"/>
      <c r="J106" s="745"/>
      <c r="K106" s="745"/>
      <c r="L106" s="745"/>
      <c r="M106" s="745"/>
      <c r="N106" s="745"/>
      <c r="O106" s="745"/>
      <c r="P106" s="430"/>
      <c r="Q106" s="477">
        <v>10</v>
      </c>
      <c r="R106" s="746"/>
      <c r="S106" s="746"/>
      <c r="T106" s="746"/>
      <c r="U106" s="746"/>
      <c r="V106" s="745" t="s">
        <v>246</v>
      </c>
      <c r="W106" s="745"/>
      <c r="X106" s="430"/>
      <c r="Y106" s="804" t="s">
        <v>82</v>
      </c>
      <c r="Z106" s="805"/>
      <c r="AA106" s="805"/>
      <c r="AB106" s="805"/>
      <c r="AC106" s="805"/>
      <c r="AD106" s="805"/>
      <c r="AE106" s="805"/>
      <c r="AF106" s="805"/>
      <c r="AG106" s="805"/>
      <c r="AH106" s="805"/>
      <c r="AI106" s="805"/>
      <c r="AJ106" s="805"/>
      <c r="AK106" s="805"/>
      <c r="AL106" s="805"/>
      <c r="AM106" s="805"/>
      <c r="AN106" s="806"/>
      <c r="AO106" s="811">
        <f>ROUND(AO105/Q106,2)</f>
        <v>6.51</v>
      </c>
      <c r="AP106" s="812"/>
      <c r="AQ106" s="812"/>
      <c r="AR106" s="813"/>
    </row>
    <row r="108" spans="3:44" ht="18" customHeight="1">
      <c r="C108" s="794" t="s">
        <v>43</v>
      </c>
      <c r="D108" s="774"/>
      <c r="E108" s="775"/>
      <c r="F108" s="773" t="s">
        <v>83</v>
      </c>
      <c r="G108" s="774"/>
      <c r="H108" s="774"/>
      <c r="I108" s="774"/>
      <c r="J108" s="774"/>
      <c r="K108" s="774"/>
      <c r="L108" s="774"/>
      <c r="M108" s="774"/>
      <c r="N108" s="774"/>
      <c r="O108" s="774"/>
      <c r="P108" s="774"/>
      <c r="Q108" s="774"/>
      <c r="R108" s="774"/>
      <c r="S108" s="774"/>
      <c r="T108" s="774"/>
      <c r="U108" s="774"/>
      <c r="V108" s="774"/>
      <c r="W108" s="774"/>
      <c r="X108" s="774"/>
      <c r="Y108" s="774"/>
      <c r="Z108" s="774"/>
      <c r="AA108" s="774"/>
      <c r="AB108" s="775"/>
      <c r="AC108" s="773" t="s">
        <v>84</v>
      </c>
      <c r="AD108" s="774"/>
      <c r="AE108" s="774"/>
      <c r="AF108" s="775"/>
      <c r="AG108" s="773" t="s">
        <v>85</v>
      </c>
      <c r="AH108" s="774"/>
      <c r="AI108" s="774"/>
      <c r="AJ108" s="775"/>
      <c r="AK108" s="773" t="s">
        <v>86</v>
      </c>
      <c r="AL108" s="774"/>
      <c r="AM108" s="774"/>
      <c r="AN108" s="775"/>
      <c r="AO108" s="773" t="s">
        <v>87</v>
      </c>
      <c r="AP108" s="774"/>
      <c r="AQ108" s="774"/>
      <c r="AR108" s="779"/>
    </row>
    <row r="109" spans="3:44" ht="18" customHeight="1">
      <c r="C109" s="795"/>
      <c r="D109" s="777"/>
      <c r="E109" s="778"/>
      <c r="F109" s="776"/>
      <c r="G109" s="777"/>
      <c r="H109" s="777"/>
      <c r="I109" s="777"/>
      <c r="J109" s="777"/>
      <c r="K109" s="777"/>
      <c r="L109" s="777"/>
      <c r="M109" s="777"/>
      <c r="N109" s="777"/>
      <c r="O109" s="777"/>
      <c r="P109" s="777"/>
      <c r="Q109" s="777"/>
      <c r="R109" s="777"/>
      <c r="S109" s="777"/>
      <c r="T109" s="777"/>
      <c r="U109" s="777"/>
      <c r="V109" s="777"/>
      <c r="W109" s="777"/>
      <c r="X109" s="777"/>
      <c r="Y109" s="777"/>
      <c r="Z109" s="777"/>
      <c r="AA109" s="777"/>
      <c r="AB109" s="778"/>
      <c r="AC109" s="776"/>
      <c r="AD109" s="777"/>
      <c r="AE109" s="777"/>
      <c r="AF109" s="778"/>
      <c r="AG109" s="776"/>
      <c r="AH109" s="777"/>
      <c r="AI109" s="777"/>
      <c r="AJ109" s="778"/>
      <c r="AK109" s="776"/>
      <c r="AL109" s="777"/>
      <c r="AM109" s="777"/>
      <c r="AN109" s="778"/>
      <c r="AO109" s="776"/>
      <c r="AP109" s="777"/>
      <c r="AQ109" s="777"/>
      <c r="AR109" s="780"/>
    </row>
    <row r="110" spans="3:44" ht="18" customHeight="1">
      <c r="C110" s="781" t="s">
        <v>239</v>
      </c>
      <c r="D110" s="782"/>
      <c r="E110" s="783"/>
      <c r="F110" s="493" t="s">
        <v>651</v>
      </c>
      <c r="G110" s="493"/>
      <c r="H110" s="493"/>
      <c r="I110" s="493"/>
      <c r="J110" s="493"/>
      <c r="K110" s="493"/>
      <c r="L110" s="493"/>
      <c r="M110" s="493"/>
      <c r="N110" s="493"/>
      <c r="O110" s="493"/>
      <c r="P110" s="493"/>
      <c r="Q110" s="493"/>
      <c r="R110" s="493"/>
      <c r="S110" s="493"/>
      <c r="T110" s="493"/>
      <c r="U110" s="493"/>
      <c r="V110" s="493"/>
      <c r="W110" s="493"/>
      <c r="X110" s="493"/>
      <c r="Y110" s="493"/>
      <c r="Z110" s="493"/>
      <c r="AA110" s="493"/>
      <c r="AB110" s="493"/>
      <c r="AC110" s="471" t="s">
        <v>246</v>
      </c>
      <c r="AD110" s="803"/>
      <c r="AE110" s="803"/>
      <c r="AF110" s="871"/>
      <c r="AG110" s="491">
        <v>3.18</v>
      </c>
      <c r="AH110" s="491"/>
      <c r="AI110" s="491"/>
      <c r="AJ110" s="491"/>
      <c r="AK110" s="791">
        <v>1</v>
      </c>
      <c r="AL110" s="792"/>
      <c r="AM110" s="792"/>
      <c r="AN110" s="793"/>
      <c r="AO110" s="449">
        <f>ROUND(AG110*AK110,2)</f>
        <v>3.18</v>
      </c>
      <c r="AP110" s="449"/>
      <c r="AQ110" s="449"/>
      <c r="AR110" s="450"/>
    </row>
    <row r="111" spans="3:44" ht="18" customHeight="1">
      <c r="C111" s="758" t="s">
        <v>1382</v>
      </c>
      <c r="D111" s="759"/>
      <c r="E111" s="760"/>
      <c r="F111" s="796" t="s">
        <v>471</v>
      </c>
      <c r="G111" s="797"/>
      <c r="H111" s="797"/>
      <c r="I111" s="797"/>
      <c r="J111" s="797"/>
      <c r="K111" s="797"/>
      <c r="L111" s="797"/>
      <c r="M111" s="797"/>
      <c r="N111" s="797"/>
      <c r="O111" s="797"/>
      <c r="P111" s="797"/>
      <c r="Q111" s="797"/>
      <c r="R111" s="797"/>
      <c r="S111" s="797"/>
      <c r="T111" s="797"/>
      <c r="U111" s="797"/>
      <c r="V111" s="797"/>
      <c r="W111" s="797"/>
      <c r="X111" s="797"/>
      <c r="Y111" s="797"/>
      <c r="Z111" s="797"/>
      <c r="AA111" s="797"/>
      <c r="AB111" s="798"/>
      <c r="AC111" s="799" t="s">
        <v>246</v>
      </c>
      <c r="AD111" s="800"/>
      <c r="AE111" s="800"/>
      <c r="AF111" s="801"/>
      <c r="AG111" s="466">
        <f>VLOOKUP(C111,[4]MATERIAL!A$1:D$65536,4,FALSE)</f>
        <v>8.84</v>
      </c>
      <c r="AH111" s="467"/>
      <c r="AI111" s="467"/>
      <c r="AJ111" s="468"/>
      <c r="AK111" s="737">
        <v>0.15</v>
      </c>
      <c r="AL111" s="738"/>
      <c r="AM111" s="738"/>
      <c r="AN111" s="739"/>
      <c r="AO111" s="449">
        <f>ROUND(AG111*AK111,2)</f>
        <v>1.33</v>
      </c>
      <c r="AP111" s="449"/>
      <c r="AQ111" s="449"/>
      <c r="AR111" s="450"/>
    </row>
    <row r="112" spans="3:44" ht="18" customHeight="1">
      <c r="C112" s="758"/>
      <c r="D112" s="759"/>
      <c r="E112" s="760"/>
      <c r="F112" s="796"/>
      <c r="G112" s="797"/>
      <c r="H112" s="797"/>
      <c r="I112" s="797"/>
      <c r="J112" s="797"/>
      <c r="K112" s="797"/>
      <c r="L112" s="797"/>
      <c r="M112" s="797"/>
      <c r="N112" s="797"/>
      <c r="O112" s="797"/>
      <c r="P112" s="797"/>
      <c r="Q112" s="797"/>
      <c r="R112" s="797"/>
      <c r="S112" s="797"/>
      <c r="T112" s="797"/>
      <c r="U112" s="797"/>
      <c r="V112" s="797"/>
      <c r="W112" s="797"/>
      <c r="X112" s="797"/>
      <c r="Y112" s="797"/>
      <c r="Z112" s="797"/>
      <c r="AA112" s="797"/>
      <c r="AB112" s="798"/>
      <c r="AC112" s="799"/>
      <c r="AD112" s="800"/>
      <c r="AE112" s="800"/>
      <c r="AF112" s="801"/>
      <c r="AG112" s="466"/>
      <c r="AH112" s="467"/>
      <c r="AI112" s="467"/>
      <c r="AJ112" s="468"/>
      <c r="AK112" s="737"/>
      <c r="AL112" s="738"/>
      <c r="AM112" s="738"/>
      <c r="AN112" s="739"/>
      <c r="AO112" s="740"/>
      <c r="AP112" s="741"/>
      <c r="AQ112" s="741"/>
      <c r="AR112" s="742"/>
    </row>
    <row r="113" spans="3:44" ht="18" customHeight="1">
      <c r="C113" s="758"/>
      <c r="D113" s="759"/>
      <c r="E113" s="760"/>
      <c r="F113" s="796">
        <v>0</v>
      </c>
      <c r="G113" s="797"/>
      <c r="H113" s="797"/>
      <c r="I113" s="797"/>
      <c r="J113" s="797"/>
      <c r="K113" s="797"/>
      <c r="L113" s="797"/>
      <c r="M113" s="797"/>
      <c r="N113" s="797"/>
      <c r="O113" s="797"/>
      <c r="P113" s="797"/>
      <c r="Q113" s="797"/>
      <c r="R113" s="797"/>
      <c r="S113" s="797"/>
      <c r="T113" s="797"/>
      <c r="U113" s="797"/>
      <c r="V113" s="797"/>
      <c r="W113" s="797"/>
      <c r="X113" s="797"/>
      <c r="Y113" s="797"/>
      <c r="Z113" s="797"/>
      <c r="AA113" s="797"/>
      <c r="AB113" s="798"/>
      <c r="AC113" s="799"/>
      <c r="AD113" s="800"/>
      <c r="AE113" s="800"/>
      <c r="AF113" s="801"/>
      <c r="AG113" s="466"/>
      <c r="AH113" s="467"/>
      <c r="AI113" s="467"/>
      <c r="AJ113" s="468"/>
      <c r="AK113" s="737"/>
      <c r="AL113" s="738"/>
      <c r="AM113" s="738"/>
      <c r="AN113" s="739"/>
      <c r="AO113" s="740"/>
      <c r="AP113" s="741"/>
      <c r="AQ113" s="741"/>
      <c r="AR113" s="742"/>
    </row>
    <row r="114" spans="3:44" ht="18" customHeight="1">
      <c r="C114" s="758"/>
      <c r="D114" s="759"/>
      <c r="E114" s="760"/>
      <c r="F114" s="796">
        <v>0</v>
      </c>
      <c r="G114" s="797"/>
      <c r="H114" s="797"/>
      <c r="I114" s="797"/>
      <c r="J114" s="797"/>
      <c r="K114" s="797"/>
      <c r="L114" s="797"/>
      <c r="M114" s="797"/>
      <c r="N114" s="797"/>
      <c r="O114" s="797"/>
      <c r="P114" s="797"/>
      <c r="Q114" s="797"/>
      <c r="R114" s="797"/>
      <c r="S114" s="797"/>
      <c r="T114" s="797"/>
      <c r="U114" s="797"/>
      <c r="V114" s="797"/>
      <c r="W114" s="797"/>
      <c r="X114" s="797"/>
      <c r="Y114" s="797"/>
      <c r="Z114" s="797"/>
      <c r="AA114" s="797"/>
      <c r="AB114" s="798"/>
      <c r="AC114" s="799">
        <v>0</v>
      </c>
      <c r="AD114" s="800"/>
      <c r="AE114" s="800"/>
      <c r="AF114" s="801"/>
      <c r="AG114" s="466">
        <v>0</v>
      </c>
      <c r="AH114" s="467"/>
      <c r="AI114" s="467"/>
      <c r="AJ114" s="468"/>
      <c r="AK114" s="737"/>
      <c r="AL114" s="738"/>
      <c r="AM114" s="738"/>
      <c r="AN114" s="739"/>
      <c r="AO114" s="740">
        <f>ROUND(AG114*AK114,2)</f>
        <v>0</v>
      </c>
      <c r="AP114" s="741"/>
      <c r="AQ114" s="741"/>
      <c r="AR114" s="742"/>
    </row>
    <row r="115" spans="3:44" ht="18" customHeight="1">
      <c r="C115" s="758"/>
      <c r="D115" s="759"/>
      <c r="E115" s="760"/>
      <c r="F115" s="796"/>
      <c r="G115" s="797"/>
      <c r="H115" s="797"/>
      <c r="I115" s="797"/>
      <c r="J115" s="797"/>
      <c r="K115" s="797"/>
      <c r="L115" s="797"/>
      <c r="M115" s="797"/>
      <c r="N115" s="797"/>
      <c r="O115" s="797"/>
      <c r="P115" s="797"/>
      <c r="Q115" s="797"/>
      <c r="R115" s="797"/>
      <c r="S115" s="797"/>
      <c r="T115" s="797"/>
      <c r="U115" s="797"/>
      <c r="V115" s="797"/>
      <c r="W115" s="797"/>
      <c r="X115" s="797"/>
      <c r="Y115" s="797"/>
      <c r="Z115" s="797"/>
      <c r="AA115" s="797"/>
      <c r="AB115" s="798"/>
      <c r="AC115" s="799"/>
      <c r="AD115" s="800"/>
      <c r="AE115" s="800"/>
      <c r="AF115" s="801"/>
      <c r="AG115" s="466"/>
      <c r="AH115" s="467"/>
      <c r="AI115" s="467"/>
      <c r="AJ115" s="468"/>
      <c r="AK115" s="737"/>
      <c r="AL115" s="738"/>
      <c r="AM115" s="738"/>
      <c r="AN115" s="739"/>
      <c r="AO115" s="740"/>
      <c r="AP115" s="741"/>
      <c r="AQ115" s="741"/>
      <c r="AR115" s="742"/>
    </row>
    <row r="116" spans="3:44" ht="18" customHeight="1">
      <c r="C116" s="758"/>
      <c r="D116" s="759"/>
      <c r="E116" s="760"/>
      <c r="F116" s="796"/>
      <c r="G116" s="797"/>
      <c r="H116" s="797"/>
      <c r="I116" s="797"/>
      <c r="J116" s="797"/>
      <c r="K116" s="797"/>
      <c r="L116" s="797"/>
      <c r="M116" s="797"/>
      <c r="N116" s="797"/>
      <c r="O116" s="797"/>
      <c r="P116" s="797"/>
      <c r="Q116" s="797"/>
      <c r="R116" s="797"/>
      <c r="S116" s="797"/>
      <c r="T116" s="797"/>
      <c r="U116" s="797"/>
      <c r="V116" s="797"/>
      <c r="W116" s="797"/>
      <c r="X116" s="797"/>
      <c r="Y116" s="797"/>
      <c r="Z116" s="797"/>
      <c r="AA116" s="797"/>
      <c r="AB116" s="798"/>
      <c r="AC116" s="799"/>
      <c r="AD116" s="800"/>
      <c r="AE116" s="800"/>
      <c r="AF116" s="801"/>
      <c r="AG116" s="466"/>
      <c r="AH116" s="467"/>
      <c r="AI116" s="467"/>
      <c r="AJ116" s="468"/>
      <c r="AK116" s="737"/>
      <c r="AL116" s="738"/>
      <c r="AM116" s="738"/>
      <c r="AN116" s="739"/>
      <c r="AO116" s="740"/>
      <c r="AP116" s="741"/>
      <c r="AQ116" s="741"/>
      <c r="AR116" s="742"/>
    </row>
    <row r="117" spans="3:44" ht="18" customHeight="1">
      <c r="C117" s="758"/>
      <c r="D117" s="759"/>
      <c r="E117" s="760"/>
      <c r="F117" s="796"/>
      <c r="G117" s="797"/>
      <c r="H117" s="797"/>
      <c r="I117" s="797"/>
      <c r="J117" s="797"/>
      <c r="K117" s="797"/>
      <c r="L117" s="797"/>
      <c r="M117" s="797"/>
      <c r="N117" s="797"/>
      <c r="O117" s="797"/>
      <c r="P117" s="797"/>
      <c r="Q117" s="797"/>
      <c r="R117" s="797"/>
      <c r="S117" s="797"/>
      <c r="T117" s="797"/>
      <c r="U117" s="797"/>
      <c r="V117" s="797"/>
      <c r="W117" s="797"/>
      <c r="X117" s="797"/>
      <c r="Y117" s="797"/>
      <c r="Z117" s="797"/>
      <c r="AA117" s="797"/>
      <c r="AB117" s="798"/>
      <c r="AC117" s="799"/>
      <c r="AD117" s="800"/>
      <c r="AE117" s="800"/>
      <c r="AF117" s="801"/>
      <c r="AG117" s="466"/>
      <c r="AH117" s="467"/>
      <c r="AI117" s="467"/>
      <c r="AJ117" s="468"/>
      <c r="AK117" s="737"/>
      <c r="AL117" s="738"/>
      <c r="AM117" s="738"/>
      <c r="AN117" s="739"/>
      <c r="AO117" s="740"/>
      <c r="AP117" s="741"/>
      <c r="AQ117" s="741"/>
      <c r="AR117" s="742"/>
    </row>
    <row r="118" spans="3:44" ht="18" customHeight="1">
      <c r="C118" s="743"/>
      <c r="D118" s="744"/>
      <c r="E118" s="744"/>
      <c r="F118" s="744"/>
      <c r="G118" s="744"/>
      <c r="H118" s="744"/>
      <c r="I118" s="744"/>
      <c r="J118" s="744"/>
      <c r="K118" s="744"/>
      <c r="L118" s="744"/>
      <c r="M118" s="744"/>
      <c r="N118" s="744"/>
      <c r="O118" s="744"/>
      <c r="P118" s="744"/>
      <c r="Q118" s="744"/>
      <c r="R118" s="744"/>
      <c r="S118" s="744"/>
      <c r="T118" s="744"/>
      <c r="U118" s="744"/>
      <c r="V118" s="744"/>
      <c r="W118" s="744"/>
      <c r="X118" s="744"/>
      <c r="Y118" s="745" t="s">
        <v>88</v>
      </c>
      <c r="Z118" s="745"/>
      <c r="AA118" s="745"/>
      <c r="AB118" s="745"/>
      <c r="AC118" s="745"/>
      <c r="AD118" s="745"/>
      <c r="AE118" s="745"/>
      <c r="AF118" s="745"/>
      <c r="AG118" s="745"/>
      <c r="AH118" s="745"/>
      <c r="AI118" s="745"/>
      <c r="AJ118" s="745"/>
      <c r="AK118" s="745"/>
      <c r="AL118" s="745"/>
      <c r="AM118" s="745"/>
      <c r="AN118" s="430"/>
      <c r="AO118" s="477">
        <f>SUM(AO110:AR117)</f>
        <v>4.51</v>
      </c>
      <c r="AP118" s="746"/>
      <c r="AQ118" s="746"/>
      <c r="AR118" s="747"/>
    </row>
    <row r="120" spans="3:44" ht="18" customHeight="1">
      <c r="C120" s="794" t="s">
        <v>43</v>
      </c>
      <c r="D120" s="774"/>
      <c r="E120" s="775"/>
      <c r="F120" s="773" t="s">
        <v>89</v>
      </c>
      <c r="G120" s="774"/>
      <c r="H120" s="774"/>
      <c r="I120" s="774"/>
      <c r="J120" s="774"/>
      <c r="K120" s="774"/>
      <c r="L120" s="774"/>
      <c r="M120" s="774"/>
      <c r="N120" s="774"/>
      <c r="O120" s="774"/>
      <c r="P120" s="774"/>
      <c r="Q120" s="774"/>
      <c r="R120" s="775"/>
      <c r="S120" s="773" t="s">
        <v>90</v>
      </c>
      <c r="T120" s="774"/>
      <c r="U120" s="775"/>
      <c r="V120" s="773" t="s">
        <v>91</v>
      </c>
      <c r="W120" s="774"/>
      <c r="X120" s="775"/>
      <c r="Y120" s="773" t="s">
        <v>92</v>
      </c>
      <c r="Z120" s="774"/>
      <c r="AA120" s="774"/>
      <c r="AB120" s="774"/>
      <c r="AC120" s="774"/>
      <c r="AD120" s="775"/>
      <c r="AE120" s="773" t="s">
        <v>93</v>
      </c>
      <c r="AF120" s="774"/>
      <c r="AG120" s="775"/>
      <c r="AH120" s="773" t="s">
        <v>94</v>
      </c>
      <c r="AI120" s="774"/>
      <c r="AJ120" s="775"/>
      <c r="AK120" s="773" t="s">
        <v>86</v>
      </c>
      <c r="AL120" s="774"/>
      <c r="AM120" s="774"/>
      <c r="AN120" s="775"/>
      <c r="AO120" s="773" t="s">
        <v>87</v>
      </c>
      <c r="AP120" s="774"/>
      <c r="AQ120" s="774"/>
      <c r="AR120" s="779"/>
    </row>
    <row r="121" spans="3:44" ht="18" customHeight="1">
      <c r="C121" s="795"/>
      <c r="D121" s="777"/>
      <c r="E121" s="778"/>
      <c r="F121" s="776"/>
      <c r="G121" s="777"/>
      <c r="H121" s="777"/>
      <c r="I121" s="777"/>
      <c r="J121" s="777"/>
      <c r="K121" s="777"/>
      <c r="L121" s="777"/>
      <c r="M121" s="777"/>
      <c r="N121" s="777"/>
      <c r="O121" s="777"/>
      <c r="P121" s="777"/>
      <c r="Q121" s="777"/>
      <c r="R121" s="778"/>
      <c r="S121" s="776"/>
      <c r="T121" s="777"/>
      <c r="U121" s="778"/>
      <c r="V121" s="776"/>
      <c r="W121" s="777"/>
      <c r="X121" s="778"/>
      <c r="Y121" s="776"/>
      <c r="Z121" s="777"/>
      <c r="AA121" s="777"/>
      <c r="AB121" s="777"/>
      <c r="AC121" s="777"/>
      <c r="AD121" s="778"/>
      <c r="AE121" s="776"/>
      <c r="AF121" s="777"/>
      <c r="AG121" s="778"/>
      <c r="AH121" s="776"/>
      <c r="AI121" s="777"/>
      <c r="AJ121" s="778"/>
      <c r="AK121" s="776"/>
      <c r="AL121" s="777"/>
      <c r="AM121" s="777"/>
      <c r="AN121" s="778"/>
      <c r="AO121" s="776"/>
      <c r="AP121" s="777"/>
      <c r="AQ121" s="777"/>
      <c r="AR121" s="780"/>
    </row>
    <row r="122" spans="3:44" ht="18" customHeight="1">
      <c r="C122" s="781"/>
      <c r="D122" s="782"/>
      <c r="E122" s="783"/>
      <c r="F122" s="457"/>
      <c r="G122" s="457"/>
      <c r="H122" s="457"/>
      <c r="I122" s="457"/>
      <c r="J122" s="457"/>
      <c r="K122" s="457"/>
      <c r="L122" s="457"/>
      <c r="M122" s="457"/>
      <c r="N122" s="457"/>
      <c r="O122" s="457"/>
      <c r="P122" s="457"/>
      <c r="Q122" s="457"/>
      <c r="R122" s="457"/>
      <c r="S122" s="784"/>
      <c r="T122" s="785"/>
      <c r="U122" s="786"/>
      <c r="V122" s="784"/>
      <c r="W122" s="785"/>
      <c r="X122" s="786"/>
      <c r="Y122" s="787"/>
      <c r="Z122" s="788"/>
      <c r="AA122" s="788"/>
      <c r="AB122" s="788"/>
      <c r="AC122" s="788"/>
      <c r="AD122" s="789"/>
      <c r="AE122" s="449"/>
      <c r="AF122" s="449"/>
      <c r="AG122" s="449"/>
      <c r="AH122" s="770"/>
      <c r="AI122" s="771"/>
      <c r="AJ122" s="790"/>
      <c r="AK122" s="791"/>
      <c r="AL122" s="792"/>
      <c r="AM122" s="792"/>
      <c r="AN122" s="793"/>
      <c r="AO122" s="770"/>
      <c r="AP122" s="771"/>
      <c r="AQ122" s="771"/>
      <c r="AR122" s="772"/>
    </row>
    <row r="123" spans="3:44" ht="18" customHeight="1">
      <c r="C123" s="758"/>
      <c r="D123" s="759"/>
      <c r="E123" s="760"/>
      <c r="F123" s="761"/>
      <c r="G123" s="762"/>
      <c r="H123" s="762"/>
      <c r="I123" s="762"/>
      <c r="J123" s="762"/>
      <c r="K123" s="762"/>
      <c r="L123" s="762"/>
      <c r="M123" s="762"/>
      <c r="N123" s="762"/>
      <c r="O123" s="762"/>
      <c r="P123" s="762"/>
      <c r="Q123" s="762"/>
      <c r="R123" s="763"/>
      <c r="S123" s="764"/>
      <c r="T123" s="765"/>
      <c r="U123" s="766"/>
      <c r="V123" s="764"/>
      <c r="W123" s="765"/>
      <c r="X123" s="766"/>
      <c r="Y123" s="767"/>
      <c r="Z123" s="768"/>
      <c r="AA123" s="768"/>
      <c r="AB123" s="768"/>
      <c r="AC123" s="768"/>
      <c r="AD123" s="769"/>
      <c r="AE123" s="740"/>
      <c r="AF123" s="741"/>
      <c r="AG123" s="757"/>
      <c r="AH123" s="740"/>
      <c r="AI123" s="741"/>
      <c r="AJ123" s="757"/>
      <c r="AK123" s="737"/>
      <c r="AL123" s="738"/>
      <c r="AM123" s="738"/>
      <c r="AN123" s="739"/>
      <c r="AO123" s="740">
        <f t="shared" ref="AO123:AO129" si="1">ROUND(AE123*AH123*AK123,2)</f>
        <v>0</v>
      </c>
      <c r="AP123" s="741"/>
      <c r="AQ123" s="741"/>
      <c r="AR123" s="742"/>
    </row>
    <row r="124" spans="3:44" ht="18" customHeight="1">
      <c r="C124" s="758"/>
      <c r="D124" s="759"/>
      <c r="E124" s="760"/>
      <c r="F124" s="761"/>
      <c r="G124" s="762"/>
      <c r="H124" s="762"/>
      <c r="I124" s="762"/>
      <c r="J124" s="762"/>
      <c r="K124" s="762"/>
      <c r="L124" s="762"/>
      <c r="M124" s="762"/>
      <c r="N124" s="762"/>
      <c r="O124" s="762"/>
      <c r="P124" s="762"/>
      <c r="Q124" s="762"/>
      <c r="R124" s="763"/>
      <c r="S124" s="764"/>
      <c r="T124" s="765"/>
      <c r="U124" s="766"/>
      <c r="V124" s="764"/>
      <c r="W124" s="765"/>
      <c r="X124" s="766"/>
      <c r="Y124" s="767"/>
      <c r="Z124" s="768"/>
      <c r="AA124" s="768"/>
      <c r="AB124" s="768"/>
      <c r="AC124" s="768"/>
      <c r="AD124" s="769"/>
      <c r="AE124" s="740"/>
      <c r="AF124" s="741"/>
      <c r="AG124" s="757"/>
      <c r="AH124" s="740"/>
      <c r="AI124" s="741"/>
      <c r="AJ124" s="757"/>
      <c r="AK124" s="737"/>
      <c r="AL124" s="738"/>
      <c r="AM124" s="738"/>
      <c r="AN124" s="739"/>
      <c r="AO124" s="740">
        <f t="shared" si="1"/>
        <v>0</v>
      </c>
      <c r="AP124" s="741"/>
      <c r="AQ124" s="741"/>
      <c r="AR124" s="742"/>
    </row>
    <row r="125" spans="3:44" ht="18" customHeight="1">
      <c r="C125" s="758"/>
      <c r="D125" s="759"/>
      <c r="E125" s="760"/>
      <c r="F125" s="761"/>
      <c r="G125" s="762"/>
      <c r="H125" s="762"/>
      <c r="I125" s="762"/>
      <c r="J125" s="762"/>
      <c r="K125" s="762"/>
      <c r="L125" s="762"/>
      <c r="M125" s="762"/>
      <c r="N125" s="762"/>
      <c r="O125" s="762"/>
      <c r="P125" s="762"/>
      <c r="Q125" s="762"/>
      <c r="R125" s="763"/>
      <c r="S125" s="764"/>
      <c r="T125" s="765"/>
      <c r="U125" s="766"/>
      <c r="V125" s="764"/>
      <c r="W125" s="765"/>
      <c r="X125" s="766"/>
      <c r="Y125" s="767"/>
      <c r="Z125" s="768"/>
      <c r="AA125" s="768"/>
      <c r="AB125" s="768"/>
      <c r="AC125" s="768"/>
      <c r="AD125" s="769"/>
      <c r="AE125" s="740"/>
      <c r="AF125" s="741"/>
      <c r="AG125" s="757"/>
      <c r="AH125" s="740"/>
      <c r="AI125" s="741"/>
      <c r="AJ125" s="757"/>
      <c r="AK125" s="737"/>
      <c r="AL125" s="738"/>
      <c r="AM125" s="738"/>
      <c r="AN125" s="739"/>
      <c r="AO125" s="740">
        <f t="shared" si="1"/>
        <v>0</v>
      </c>
      <c r="AP125" s="741"/>
      <c r="AQ125" s="741"/>
      <c r="AR125" s="742"/>
    </row>
    <row r="126" spans="3:44" ht="18" customHeight="1">
      <c r="C126" s="758"/>
      <c r="D126" s="759"/>
      <c r="E126" s="760"/>
      <c r="F126" s="761"/>
      <c r="G126" s="762"/>
      <c r="H126" s="762"/>
      <c r="I126" s="762"/>
      <c r="J126" s="762"/>
      <c r="K126" s="762"/>
      <c r="L126" s="762"/>
      <c r="M126" s="762"/>
      <c r="N126" s="762"/>
      <c r="O126" s="762"/>
      <c r="P126" s="762"/>
      <c r="Q126" s="762"/>
      <c r="R126" s="763"/>
      <c r="S126" s="764"/>
      <c r="T126" s="765"/>
      <c r="U126" s="766"/>
      <c r="V126" s="764"/>
      <c r="W126" s="765"/>
      <c r="X126" s="766"/>
      <c r="Y126" s="767"/>
      <c r="Z126" s="768"/>
      <c r="AA126" s="768"/>
      <c r="AB126" s="768"/>
      <c r="AC126" s="768"/>
      <c r="AD126" s="769"/>
      <c r="AE126" s="740"/>
      <c r="AF126" s="741"/>
      <c r="AG126" s="757"/>
      <c r="AH126" s="740"/>
      <c r="AI126" s="741"/>
      <c r="AJ126" s="757"/>
      <c r="AK126" s="737"/>
      <c r="AL126" s="738"/>
      <c r="AM126" s="738"/>
      <c r="AN126" s="739"/>
      <c r="AO126" s="740">
        <f t="shared" si="1"/>
        <v>0</v>
      </c>
      <c r="AP126" s="741"/>
      <c r="AQ126" s="741"/>
      <c r="AR126" s="742"/>
    </row>
    <row r="127" spans="3:44" ht="18" customHeight="1">
      <c r="C127" s="758"/>
      <c r="D127" s="759"/>
      <c r="E127" s="760"/>
      <c r="F127" s="761"/>
      <c r="G127" s="762"/>
      <c r="H127" s="762"/>
      <c r="I127" s="762"/>
      <c r="J127" s="762"/>
      <c r="K127" s="762"/>
      <c r="L127" s="762"/>
      <c r="M127" s="762"/>
      <c r="N127" s="762"/>
      <c r="O127" s="762"/>
      <c r="P127" s="762"/>
      <c r="Q127" s="762"/>
      <c r="R127" s="763"/>
      <c r="S127" s="764"/>
      <c r="T127" s="765"/>
      <c r="U127" s="766"/>
      <c r="V127" s="764"/>
      <c r="W127" s="765"/>
      <c r="X127" s="766"/>
      <c r="Y127" s="767"/>
      <c r="Z127" s="768"/>
      <c r="AA127" s="768"/>
      <c r="AB127" s="768"/>
      <c r="AC127" s="768"/>
      <c r="AD127" s="769"/>
      <c r="AE127" s="740"/>
      <c r="AF127" s="741"/>
      <c r="AG127" s="757"/>
      <c r="AH127" s="740"/>
      <c r="AI127" s="741"/>
      <c r="AJ127" s="757"/>
      <c r="AK127" s="737"/>
      <c r="AL127" s="738"/>
      <c r="AM127" s="738"/>
      <c r="AN127" s="739"/>
      <c r="AO127" s="740">
        <f t="shared" si="1"/>
        <v>0</v>
      </c>
      <c r="AP127" s="741"/>
      <c r="AQ127" s="741"/>
      <c r="AR127" s="742"/>
    </row>
    <row r="128" spans="3:44" ht="18" customHeight="1">
      <c r="C128" s="758"/>
      <c r="D128" s="759"/>
      <c r="E128" s="760"/>
      <c r="F128" s="761"/>
      <c r="G128" s="762"/>
      <c r="H128" s="762"/>
      <c r="I128" s="762"/>
      <c r="J128" s="762"/>
      <c r="K128" s="762"/>
      <c r="L128" s="762"/>
      <c r="M128" s="762"/>
      <c r="N128" s="762"/>
      <c r="O128" s="762"/>
      <c r="P128" s="762"/>
      <c r="Q128" s="762"/>
      <c r="R128" s="763"/>
      <c r="S128" s="764"/>
      <c r="T128" s="765"/>
      <c r="U128" s="766"/>
      <c r="V128" s="764"/>
      <c r="W128" s="765"/>
      <c r="X128" s="766"/>
      <c r="Y128" s="767"/>
      <c r="Z128" s="768"/>
      <c r="AA128" s="768"/>
      <c r="AB128" s="768"/>
      <c r="AC128" s="768"/>
      <c r="AD128" s="769"/>
      <c r="AE128" s="740"/>
      <c r="AF128" s="741"/>
      <c r="AG128" s="757"/>
      <c r="AH128" s="740"/>
      <c r="AI128" s="741"/>
      <c r="AJ128" s="757"/>
      <c r="AK128" s="737"/>
      <c r="AL128" s="738"/>
      <c r="AM128" s="738"/>
      <c r="AN128" s="739"/>
      <c r="AO128" s="740">
        <f t="shared" si="1"/>
        <v>0</v>
      </c>
      <c r="AP128" s="741"/>
      <c r="AQ128" s="741"/>
      <c r="AR128" s="742"/>
    </row>
    <row r="129" spans="1:44" ht="18" customHeight="1">
      <c r="C129" s="758"/>
      <c r="D129" s="759"/>
      <c r="E129" s="760"/>
      <c r="F129" s="761"/>
      <c r="G129" s="762"/>
      <c r="H129" s="762"/>
      <c r="I129" s="762"/>
      <c r="J129" s="762"/>
      <c r="K129" s="762"/>
      <c r="L129" s="762"/>
      <c r="M129" s="762"/>
      <c r="N129" s="762"/>
      <c r="O129" s="762"/>
      <c r="P129" s="762"/>
      <c r="Q129" s="762"/>
      <c r="R129" s="763"/>
      <c r="S129" s="764"/>
      <c r="T129" s="765"/>
      <c r="U129" s="766"/>
      <c r="V129" s="764"/>
      <c r="W129" s="765"/>
      <c r="X129" s="766"/>
      <c r="Y129" s="767"/>
      <c r="Z129" s="768"/>
      <c r="AA129" s="768"/>
      <c r="AB129" s="768"/>
      <c r="AC129" s="768"/>
      <c r="AD129" s="769"/>
      <c r="AE129" s="740"/>
      <c r="AF129" s="741"/>
      <c r="AG129" s="757"/>
      <c r="AH129" s="740"/>
      <c r="AI129" s="741"/>
      <c r="AJ129" s="757"/>
      <c r="AK129" s="737"/>
      <c r="AL129" s="738"/>
      <c r="AM129" s="738"/>
      <c r="AN129" s="739"/>
      <c r="AO129" s="740">
        <f t="shared" si="1"/>
        <v>0</v>
      </c>
      <c r="AP129" s="741"/>
      <c r="AQ129" s="741"/>
      <c r="AR129" s="742"/>
    </row>
    <row r="130" spans="1:44" ht="18" customHeight="1">
      <c r="C130" s="743"/>
      <c r="D130" s="744"/>
      <c r="E130" s="744"/>
      <c r="F130" s="744"/>
      <c r="G130" s="744"/>
      <c r="H130" s="744"/>
      <c r="I130" s="744"/>
      <c r="J130" s="744"/>
      <c r="K130" s="744"/>
      <c r="L130" s="744"/>
      <c r="M130" s="744"/>
      <c r="N130" s="744"/>
      <c r="O130" s="744"/>
      <c r="P130" s="744"/>
      <c r="Q130" s="744"/>
      <c r="R130" s="744"/>
      <c r="S130" s="744"/>
      <c r="T130" s="744"/>
      <c r="U130" s="744"/>
      <c r="V130" s="744"/>
      <c r="W130" s="744"/>
      <c r="X130" s="744"/>
      <c r="Y130" s="745" t="s">
        <v>95</v>
      </c>
      <c r="Z130" s="745"/>
      <c r="AA130" s="745"/>
      <c r="AB130" s="745"/>
      <c r="AC130" s="745"/>
      <c r="AD130" s="745"/>
      <c r="AE130" s="745"/>
      <c r="AF130" s="745"/>
      <c r="AG130" s="745"/>
      <c r="AH130" s="745"/>
      <c r="AI130" s="745"/>
      <c r="AJ130" s="745"/>
      <c r="AK130" s="745"/>
      <c r="AL130" s="745"/>
      <c r="AM130" s="745"/>
      <c r="AN130" s="430"/>
      <c r="AO130" s="477">
        <f>SUM(AO122:AR129)</f>
        <v>0</v>
      </c>
      <c r="AP130" s="746"/>
      <c r="AQ130" s="746"/>
      <c r="AR130" s="747"/>
    </row>
    <row r="132" spans="1:44" ht="18" customHeight="1">
      <c r="C132" s="434"/>
      <c r="D132" s="434"/>
      <c r="E132" s="434"/>
      <c r="F132" s="434"/>
      <c r="G132" s="434"/>
      <c r="H132" s="434"/>
      <c r="I132" s="434"/>
      <c r="J132" s="434"/>
      <c r="K132" s="434"/>
      <c r="L132" s="434"/>
      <c r="M132" s="434"/>
      <c r="N132" s="434"/>
      <c r="O132" s="434"/>
      <c r="P132" s="434"/>
      <c r="Q132" s="434"/>
      <c r="R132" s="434"/>
      <c r="S132" s="434"/>
      <c r="T132" s="434"/>
      <c r="U132" s="434"/>
      <c r="V132" s="434"/>
      <c r="W132" s="434"/>
      <c r="X132" s="748"/>
      <c r="Y132" s="749" t="s">
        <v>96</v>
      </c>
      <c r="Z132" s="750"/>
      <c r="AA132" s="750"/>
      <c r="AB132" s="750"/>
      <c r="AC132" s="750"/>
      <c r="AD132" s="750"/>
      <c r="AE132" s="750"/>
      <c r="AF132" s="750"/>
      <c r="AG132" s="750"/>
      <c r="AH132" s="750"/>
      <c r="AI132" s="750"/>
      <c r="AJ132" s="750"/>
      <c r="AK132" s="750"/>
      <c r="AL132" s="750"/>
      <c r="AM132" s="750"/>
      <c r="AN132" s="751"/>
      <c r="AO132" s="752">
        <f>AO106+AO118+AO130</f>
        <v>11.02</v>
      </c>
      <c r="AP132" s="753"/>
      <c r="AQ132" s="753"/>
      <c r="AR132" s="754"/>
    </row>
    <row r="133" spans="1:44" ht="18" customHeight="1">
      <c r="C133" s="434"/>
      <c r="D133" s="434"/>
      <c r="E133" s="434"/>
      <c r="F133" s="434"/>
      <c r="G133" s="434"/>
      <c r="H133" s="434"/>
      <c r="I133" s="434"/>
      <c r="J133" s="434"/>
      <c r="K133" s="434"/>
      <c r="L133" s="434"/>
      <c r="M133" s="434"/>
      <c r="N133" s="434"/>
      <c r="O133" s="434"/>
      <c r="P133" s="434"/>
      <c r="Q133" s="434"/>
      <c r="R133" s="434"/>
      <c r="S133" s="434"/>
      <c r="T133" s="434"/>
      <c r="U133" s="434"/>
      <c r="V133" s="434"/>
      <c r="W133" s="434"/>
      <c r="X133" s="748"/>
      <c r="Y133" s="755" t="s">
        <v>97</v>
      </c>
      <c r="Z133" s="756"/>
      <c r="AA133" s="756"/>
      <c r="AB133" s="756"/>
      <c r="AC133" s="756"/>
      <c r="AD133" s="756"/>
      <c r="AE133" s="756"/>
      <c r="AF133" s="756"/>
      <c r="AG133" s="756"/>
      <c r="AH133" s="442">
        <v>0.2031</v>
      </c>
      <c r="AI133" s="442"/>
      <c r="AJ133" s="442"/>
      <c r="AK133" s="442"/>
      <c r="AL133" s="442"/>
      <c r="AM133" s="442"/>
      <c r="AN133" s="443"/>
      <c r="AO133" s="728">
        <f>ROUND(AO132*AH133,2)</f>
        <v>2.2400000000000002</v>
      </c>
      <c r="AP133" s="729"/>
      <c r="AQ133" s="729"/>
      <c r="AR133" s="730"/>
    </row>
    <row r="134" spans="1:44" ht="18" customHeight="1">
      <c r="A134" s="415" t="s">
        <v>652</v>
      </c>
      <c r="B134" s="415"/>
      <c r="C134" s="434"/>
      <c r="D134" s="434"/>
      <c r="E134" s="434"/>
      <c r="F134" s="434"/>
      <c r="G134" s="434"/>
      <c r="H134" s="434"/>
      <c r="I134" s="434"/>
      <c r="J134" s="434"/>
      <c r="K134" s="434"/>
      <c r="L134" s="434"/>
      <c r="M134" s="434"/>
      <c r="N134" s="434"/>
      <c r="O134" s="434"/>
      <c r="P134" s="434"/>
      <c r="Q134" s="434"/>
      <c r="R134" s="434"/>
      <c r="S134" s="434"/>
      <c r="T134" s="434"/>
      <c r="U134" s="434"/>
      <c r="V134" s="434"/>
      <c r="W134" s="434"/>
      <c r="X134" s="748"/>
      <c r="Y134" s="731" t="s">
        <v>98</v>
      </c>
      <c r="Z134" s="732"/>
      <c r="AA134" s="732"/>
      <c r="AB134" s="732"/>
      <c r="AC134" s="732"/>
      <c r="AD134" s="732"/>
      <c r="AE134" s="732"/>
      <c r="AF134" s="732"/>
      <c r="AG134" s="732"/>
      <c r="AH134" s="732"/>
      <c r="AI134" s="732"/>
      <c r="AJ134" s="732"/>
      <c r="AK134" s="732"/>
      <c r="AL134" s="732"/>
      <c r="AM134" s="732"/>
      <c r="AN134" s="733"/>
      <c r="AO134" s="734">
        <f>SUM(AO132:AR133)</f>
        <v>13.26</v>
      </c>
      <c r="AP134" s="735"/>
      <c r="AQ134" s="735"/>
      <c r="AR134" s="736"/>
    </row>
    <row r="136" spans="1:44" ht="18" customHeight="1">
      <c r="C136" s="420" t="s">
        <v>99</v>
      </c>
      <c r="D136" s="421"/>
      <c r="E136" s="421"/>
      <c r="F136" s="421"/>
      <c r="G136" s="421"/>
      <c r="H136" s="421"/>
      <c r="I136" s="422"/>
      <c r="J136" s="422"/>
      <c r="K136" s="422"/>
      <c r="L136" s="422"/>
      <c r="M136" s="422"/>
      <c r="N136" s="422"/>
      <c r="O136" s="422"/>
      <c r="P136" s="422"/>
      <c r="Q136" s="422"/>
      <c r="R136" s="422"/>
      <c r="S136" s="422"/>
      <c r="T136" s="422"/>
      <c r="U136" s="422"/>
      <c r="V136" s="422"/>
      <c r="W136" s="422"/>
      <c r="X136" s="422"/>
      <c r="Y136" s="422"/>
      <c r="Z136" s="422"/>
      <c r="AA136" s="422"/>
      <c r="AB136" s="422"/>
      <c r="AC136" s="422"/>
      <c r="AD136" s="422"/>
      <c r="AE136" s="422"/>
      <c r="AF136" s="422"/>
      <c r="AG136" s="422"/>
      <c r="AH136" s="422"/>
      <c r="AI136" s="422"/>
      <c r="AJ136" s="422"/>
      <c r="AK136" s="422"/>
      <c r="AL136" s="422"/>
      <c r="AM136" s="422"/>
      <c r="AN136" s="422"/>
      <c r="AO136" s="422"/>
      <c r="AP136" s="422"/>
      <c r="AQ136" s="422"/>
      <c r="AR136" s="423"/>
    </row>
    <row r="137" spans="1:44" ht="18" customHeight="1">
      <c r="C137" s="411"/>
      <c r="D137" s="412"/>
      <c r="E137" s="412"/>
      <c r="F137" s="412"/>
      <c r="G137" s="412"/>
      <c r="H137" s="412"/>
      <c r="I137" s="409"/>
      <c r="J137" s="409"/>
      <c r="K137" s="409"/>
      <c r="L137" s="409"/>
      <c r="M137" s="409"/>
      <c r="N137" s="409"/>
      <c r="O137" s="409"/>
      <c r="P137" s="409"/>
      <c r="Q137" s="409"/>
      <c r="R137" s="409"/>
      <c r="S137" s="409"/>
      <c r="T137" s="409"/>
      <c r="U137" s="409"/>
      <c r="V137" s="409"/>
      <c r="W137" s="409"/>
      <c r="X137" s="409"/>
      <c r="Y137" s="409"/>
      <c r="Z137" s="409"/>
      <c r="AA137" s="409"/>
      <c r="AB137" s="409"/>
      <c r="AC137" s="409"/>
      <c r="AD137" s="409"/>
      <c r="AE137" s="409"/>
      <c r="AF137" s="409"/>
      <c r="AG137" s="409"/>
      <c r="AH137" s="409"/>
      <c r="AI137" s="409"/>
      <c r="AJ137" s="409"/>
      <c r="AK137" s="409"/>
      <c r="AL137" s="409"/>
      <c r="AM137" s="409"/>
      <c r="AN137" s="409"/>
      <c r="AO137" s="409"/>
      <c r="AP137" s="409"/>
      <c r="AQ137" s="409"/>
      <c r="AR137" s="410"/>
    </row>
    <row r="138" spans="1:44" ht="18" customHeight="1">
      <c r="C138" s="411"/>
      <c r="D138" s="412"/>
      <c r="E138" s="412"/>
      <c r="F138" s="412"/>
      <c r="G138" s="412"/>
      <c r="H138" s="412"/>
      <c r="I138" s="409"/>
      <c r="J138" s="409"/>
      <c r="K138" s="409"/>
      <c r="L138" s="409"/>
      <c r="M138" s="409"/>
      <c r="N138" s="409"/>
      <c r="O138" s="409"/>
      <c r="P138" s="409"/>
      <c r="Q138" s="409"/>
      <c r="R138" s="409"/>
      <c r="S138" s="409"/>
      <c r="T138" s="409"/>
      <c r="U138" s="409"/>
      <c r="V138" s="409"/>
      <c r="W138" s="409"/>
      <c r="X138" s="409"/>
      <c r="Y138" s="409"/>
      <c r="Z138" s="409"/>
      <c r="AA138" s="409"/>
      <c r="AB138" s="409"/>
      <c r="AC138" s="409"/>
      <c r="AD138" s="409"/>
      <c r="AE138" s="409"/>
      <c r="AF138" s="409"/>
      <c r="AG138" s="409"/>
      <c r="AH138" s="409"/>
      <c r="AI138" s="409"/>
      <c r="AJ138" s="409"/>
      <c r="AK138" s="409"/>
      <c r="AL138" s="409"/>
      <c r="AM138" s="409"/>
      <c r="AN138" s="409"/>
      <c r="AO138" s="409"/>
      <c r="AP138" s="409"/>
      <c r="AQ138" s="409"/>
      <c r="AR138" s="410"/>
    </row>
    <row r="139" spans="1:44" ht="18" customHeight="1">
      <c r="C139" s="411"/>
      <c r="D139" s="412"/>
      <c r="E139" s="412"/>
      <c r="F139" s="412"/>
      <c r="G139" s="412"/>
      <c r="H139" s="412"/>
      <c r="I139" s="409"/>
      <c r="J139" s="409"/>
      <c r="K139" s="409"/>
      <c r="L139" s="409"/>
      <c r="M139" s="409"/>
      <c r="N139" s="409"/>
      <c r="O139" s="409"/>
      <c r="P139" s="409"/>
      <c r="Q139" s="409"/>
      <c r="R139" s="409"/>
      <c r="S139" s="409"/>
      <c r="T139" s="409"/>
      <c r="U139" s="409"/>
      <c r="V139" s="409"/>
      <c r="W139" s="409"/>
      <c r="X139" s="409"/>
      <c r="Y139" s="409"/>
      <c r="Z139" s="409"/>
      <c r="AA139" s="409"/>
      <c r="AB139" s="409"/>
      <c r="AC139" s="409"/>
      <c r="AD139" s="409"/>
      <c r="AE139" s="409"/>
      <c r="AF139" s="409"/>
      <c r="AG139" s="409"/>
      <c r="AH139" s="409"/>
      <c r="AI139" s="409"/>
      <c r="AJ139" s="409"/>
      <c r="AK139" s="409"/>
      <c r="AL139" s="409"/>
      <c r="AM139" s="409"/>
      <c r="AN139" s="409"/>
      <c r="AO139" s="409"/>
      <c r="AP139" s="409"/>
      <c r="AQ139" s="409"/>
      <c r="AR139" s="410"/>
    </row>
    <row r="140" spans="1:44" ht="18" customHeight="1">
      <c r="C140" s="411"/>
      <c r="D140" s="412"/>
      <c r="E140" s="412"/>
      <c r="F140" s="412"/>
      <c r="G140" s="412"/>
      <c r="H140" s="412"/>
      <c r="I140" s="409"/>
      <c r="J140" s="409"/>
      <c r="K140" s="409"/>
      <c r="L140" s="409"/>
      <c r="M140" s="409"/>
      <c r="N140" s="409"/>
      <c r="O140" s="409"/>
      <c r="P140" s="409"/>
      <c r="Q140" s="409"/>
      <c r="R140" s="409"/>
      <c r="S140" s="409"/>
      <c r="T140" s="409"/>
      <c r="U140" s="409"/>
      <c r="V140" s="409"/>
      <c r="W140" s="409"/>
      <c r="X140" s="409"/>
      <c r="Y140" s="409"/>
      <c r="Z140" s="409"/>
      <c r="AA140" s="409"/>
      <c r="AB140" s="409"/>
      <c r="AC140" s="409"/>
      <c r="AD140" s="409"/>
      <c r="AE140" s="409"/>
      <c r="AF140" s="409"/>
      <c r="AG140" s="409"/>
      <c r="AH140" s="409"/>
      <c r="AI140" s="409"/>
      <c r="AJ140" s="409"/>
      <c r="AK140" s="409"/>
      <c r="AL140" s="409"/>
      <c r="AM140" s="409"/>
      <c r="AN140" s="409"/>
      <c r="AO140" s="409"/>
      <c r="AP140" s="409"/>
      <c r="AQ140" s="409"/>
      <c r="AR140" s="410"/>
    </row>
    <row r="141" spans="1:44" ht="18" customHeight="1">
      <c r="C141" s="385"/>
      <c r="D141" s="386"/>
      <c r="E141" s="386"/>
      <c r="F141" s="386"/>
      <c r="G141" s="386"/>
      <c r="H141" s="386"/>
      <c r="I141" s="387"/>
      <c r="J141" s="387"/>
      <c r="K141" s="387"/>
      <c r="L141" s="387"/>
      <c r="M141" s="387"/>
      <c r="N141" s="387"/>
      <c r="O141" s="387"/>
      <c r="P141" s="387"/>
      <c r="Q141" s="387"/>
      <c r="R141" s="387"/>
      <c r="S141" s="387"/>
      <c r="T141" s="387"/>
      <c r="U141" s="387"/>
      <c r="V141" s="387"/>
      <c r="W141" s="387"/>
      <c r="X141" s="387"/>
      <c r="Y141" s="387"/>
      <c r="Z141" s="387"/>
      <c r="AA141" s="387"/>
      <c r="AB141" s="387"/>
      <c r="AC141" s="387"/>
      <c r="AD141" s="387"/>
      <c r="AE141" s="387"/>
      <c r="AF141" s="387"/>
      <c r="AG141" s="387"/>
      <c r="AH141" s="387"/>
      <c r="AI141" s="387"/>
      <c r="AJ141" s="387"/>
      <c r="AK141" s="387"/>
      <c r="AL141" s="387"/>
      <c r="AM141" s="387"/>
      <c r="AN141" s="387"/>
      <c r="AO141" s="387"/>
      <c r="AP141" s="387"/>
      <c r="AQ141" s="387"/>
      <c r="AR141" s="388"/>
    </row>
    <row r="143" spans="1:44" ht="18" customHeight="1">
      <c r="C143" s="389" t="s">
        <v>100</v>
      </c>
      <c r="D143" s="390"/>
      <c r="E143" s="390"/>
      <c r="F143" s="390"/>
      <c r="G143" s="390"/>
      <c r="H143" s="390"/>
      <c r="I143" s="390"/>
      <c r="J143" s="390"/>
      <c r="K143" s="390"/>
      <c r="L143" s="390"/>
      <c r="M143" s="390"/>
      <c r="N143" s="390"/>
      <c r="O143" s="390"/>
      <c r="P143" s="390"/>
      <c r="Q143" s="390"/>
      <c r="R143" s="390"/>
      <c r="S143" s="390"/>
      <c r="T143" s="390"/>
      <c r="U143" s="390"/>
      <c r="V143" s="390"/>
      <c r="W143" s="390"/>
      <c r="X143" s="390"/>
      <c r="Y143" s="390"/>
      <c r="Z143" s="390"/>
      <c r="AA143" s="391"/>
      <c r="AB143" s="392" t="str">
        <f>[4]C.UNIT.SERV.!$E$5</f>
        <v>DATA-BASE:      MAIO/2011/PR</v>
      </c>
      <c r="AC143" s="393"/>
      <c r="AD143" s="393"/>
      <c r="AE143" s="393"/>
      <c r="AF143" s="393"/>
      <c r="AG143" s="393"/>
      <c r="AH143" s="393"/>
      <c r="AI143" s="394"/>
      <c r="AJ143" s="392"/>
      <c r="AK143" s="393"/>
      <c r="AL143" s="393"/>
      <c r="AM143" s="393"/>
      <c r="AN143" s="393"/>
      <c r="AO143" s="393"/>
      <c r="AP143" s="393"/>
      <c r="AQ143" s="393"/>
      <c r="AR143" s="401"/>
    </row>
    <row r="144" spans="1:44" ht="18" customHeight="1">
      <c r="C144" s="404" t="s">
        <v>101</v>
      </c>
      <c r="D144" s="405"/>
      <c r="E144" s="405"/>
      <c r="F144" s="405"/>
      <c r="G144" s="405" t="s">
        <v>283</v>
      </c>
      <c r="H144" s="405"/>
      <c r="I144" s="405"/>
      <c r="J144" s="405"/>
      <c r="K144" s="405"/>
      <c r="L144" s="405"/>
      <c r="M144" s="405"/>
      <c r="N144" s="405"/>
      <c r="O144" s="405"/>
      <c r="P144" s="405"/>
      <c r="Q144" s="405"/>
      <c r="R144" s="405"/>
      <c r="S144" s="405"/>
      <c r="T144" s="405"/>
      <c r="U144" s="405"/>
      <c r="V144" s="405"/>
      <c r="W144" s="405"/>
      <c r="X144" s="405"/>
      <c r="Y144" s="405"/>
      <c r="Z144" s="405"/>
      <c r="AA144" s="406"/>
      <c r="AB144" s="395"/>
      <c r="AC144" s="396"/>
      <c r="AD144" s="396"/>
      <c r="AE144" s="396"/>
      <c r="AF144" s="396"/>
      <c r="AG144" s="396"/>
      <c r="AH144" s="396"/>
      <c r="AI144" s="397"/>
      <c r="AJ144" s="395"/>
      <c r="AK144" s="396"/>
      <c r="AL144" s="396"/>
      <c r="AM144" s="396"/>
      <c r="AN144" s="396"/>
      <c r="AO144" s="396"/>
      <c r="AP144" s="396"/>
      <c r="AQ144" s="396"/>
      <c r="AR144" s="402"/>
    </row>
    <row r="145" spans="3:44" ht="18" customHeight="1">
      <c r="C145" s="404" t="s">
        <v>102</v>
      </c>
      <c r="D145" s="405"/>
      <c r="E145" s="405"/>
      <c r="F145" s="405"/>
      <c r="G145" s="405"/>
      <c r="H145" s="405"/>
      <c r="I145" s="405"/>
      <c r="J145" s="405"/>
      <c r="K145" s="405"/>
      <c r="L145" s="405"/>
      <c r="M145" s="405"/>
      <c r="N145" s="405"/>
      <c r="O145" s="405"/>
      <c r="P145" s="405"/>
      <c r="Q145" s="405"/>
      <c r="R145" s="405"/>
      <c r="S145" s="405"/>
      <c r="T145" s="405"/>
      <c r="U145" s="405"/>
      <c r="V145" s="405"/>
      <c r="W145" s="405"/>
      <c r="X145" s="405"/>
      <c r="Y145" s="405"/>
      <c r="Z145" s="405"/>
      <c r="AA145" s="406"/>
      <c r="AB145" s="395"/>
      <c r="AC145" s="396"/>
      <c r="AD145" s="396"/>
      <c r="AE145" s="396"/>
      <c r="AF145" s="396"/>
      <c r="AG145" s="396"/>
      <c r="AH145" s="396"/>
      <c r="AI145" s="397"/>
      <c r="AJ145" s="395"/>
      <c r="AK145" s="396"/>
      <c r="AL145" s="396"/>
      <c r="AM145" s="396"/>
      <c r="AN145" s="396"/>
      <c r="AO145" s="396"/>
      <c r="AP145" s="396"/>
      <c r="AQ145" s="396"/>
      <c r="AR145" s="402"/>
    </row>
    <row r="146" spans="3:44" ht="18" customHeight="1">
      <c r="C146" s="407"/>
      <c r="D146" s="408"/>
      <c r="E146" s="408"/>
      <c r="F146" s="408"/>
      <c r="G146" s="408"/>
      <c r="H146" s="408"/>
      <c r="I146" s="408"/>
      <c r="J146" s="408"/>
      <c r="K146" s="408"/>
      <c r="L146" s="408"/>
      <c r="M146" s="408"/>
      <c r="N146" s="408"/>
      <c r="O146" s="408"/>
      <c r="P146" s="408"/>
      <c r="Q146" s="408"/>
      <c r="R146" s="408"/>
      <c r="S146" s="408"/>
      <c r="T146" s="408"/>
      <c r="U146" s="408"/>
      <c r="V146" s="408"/>
      <c r="W146" s="408"/>
      <c r="X146" s="408"/>
      <c r="Y146" s="408"/>
      <c r="Z146" s="408"/>
      <c r="AA146" s="408"/>
      <c r="AB146" s="398"/>
      <c r="AC146" s="399"/>
      <c r="AD146" s="399"/>
      <c r="AE146" s="399"/>
      <c r="AF146" s="399"/>
      <c r="AG146" s="399"/>
      <c r="AH146" s="399"/>
      <c r="AI146" s="400"/>
      <c r="AJ146" s="398"/>
      <c r="AK146" s="399"/>
      <c r="AL146" s="399"/>
      <c r="AM146" s="399"/>
      <c r="AN146" s="399"/>
      <c r="AO146" s="399"/>
      <c r="AP146" s="399"/>
      <c r="AQ146" s="399"/>
      <c r="AR146" s="403"/>
    </row>
    <row r="148" spans="3:44" ht="18" customHeight="1">
      <c r="C148" s="850" t="s">
        <v>64</v>
      </c>
      <c r="D148" s="851"/>
      <c r="E148" s="851"/>
      <c r="F148" s="851"/>
      <c r="G148" s="851"/>
      <c r="H148" s="851"/>
      <c r="I148" s="851"/>
      <c r="J148" s="851"/>
      <c r="K148" s="851"/>
      <c r="L148" s="851"/>
      <c r="M148" s="851"/>
      <c r="N148" s="851"/>
      <c r="O148" s="851"/>
      <c r="P148" s="851"/>
      <c r="Q148" s="851"/>
      <c r="R148" s="851"/>
      <c r="S148" s="851"/>
      <c r="T148" s="851"/>
      <c r="U148" s="851"/>
      <c r="V148" s="851"/>
      <c r="W148" s="851"/>
      <c r="X148" s="851"/>
      <c r="Y148" s="851"/>
      <c r="Z148" s="851"/>
      <c r="AA148" s="851"/>
      <c r="AB148" s="851"/>
      <c r="AC148" s="851"/>
      <c r="AD148" s="851"/>
      <c r="AE148" s="851"/>
      <c r="AF148" s="851"/>
      <c r="AG148" s="851"/>
      <c r="AH148" s="851"/>
      <c r="AI148" s="851"/>
      <c r="AJ148" s="851"/>
      <c r="AK148" s="851"/>
      <c r="AL148" s="851"/>
      <c r="AM148" s="851"/>
      <c r="AN148" s="851"/>
      <c r="AO148" s="851"/>
      <c r="AP148" s="851"/>
      <c r="AQ148" s="851"/>
      <c r="AR148" s="852"/>
    </row>
    <row r="149" spans="3:44" ht="18" customHeight="1">
      <c r="C149" s="853"/>
      <c r="D149" s="854"/>
      <c r="E149" s="854"/>
      <c r="F149" s="854"/>
      <c r="G149" s="854"/>
      <c r="H149" s="854"/>
      <c r="I149" s="854"/>
      <c r="J149" s="854"/>
      <c r="K149" s="854"/>
      <c r="L149" s="854"/>
      <c r="M149" s="854"/>
      <c r="N149" s="854"/>
      <c r="O149" s="854"/>
      <c r="P149" s="854"/>
      <c r="Q149" s="854"/>
      <c r="R149" s="854"/>
      <c r="S149" s="854"/>
      <c r="T149" s="854"/>
      <c r="U149" s="854"/>
      <c r="V149" s="854"/>
      <c r="W149" s="854"/>
      <c r="X149" s="854"/>
      <c r="Y149" s="854"/>
      <c r="Z149" s="854"/>
      <c r="AA149" s="854"/>
      <c r="AB149" s="854"/>
      <c r="AC149" s="854"/>
      <c r="AD149" s="854"/>
      <c r="AE149" s="854"/>
      <c r="AF149" s="854"/>
      <c r="AG149" s="854"/>
      <c r="AH149" s="854"/>
      <c r="AI149" s="854"/>
      <c r="AJ149" s="854"/>
      <c r="AK149" s="854"/>
      <c r="AL149" s="854"/>
      <c r="AM149" s="854"/>
      <c r="AN149" s="854"/>
      <c r="AO149" s="854"/>
      <c r="AP149" s="854"/>
      <c r="AQ149" s="854"/>
      <c r="AR149" s="855"/>
    </row>
    <row r="150" spans="3:44" ht="18" customHeight="1">
      <c r="C150" s="856" t="s">
        <v>65</v>
      </c>
      <c r="D150" s="857"/>
      <c r="E150" s="857"/>
      <c r="F150" s="857"/>
      <c r="G150" s="860" t="s">
        <v>653</v>
      </c>
      <c r="H150" s="860"/>
      <c r="I150" s="860"/>
      <c r="J150" s="861"/>
      <c r="K150" s="864" t="s">
        <v>66</v>
      </c>
      <c r="L150" s="865"/>
      <c r="M150" s="865"/>
      <c r="N150" s="865"/>
      <c r="O150" s="522" t="s">
        <v>707</v>
      </c>
      <c r="P150" s="523"/>
      <c r="Q150" s="523"/>
      <c r="R150" s="523"/>
      <c r="S150" s="523"/>
      <c r="T150" s="523"/>
      <c r="U150" s="523"/>
      <c r="V150" s="523"/>
      <c r="W150" s="523"/>
      <c r="X150" s="523"/>
      <c r="Y150" s="523"/>
      <c r="Z150" s="523"/>
      <c r="AA150" s="523"/>
      <c r="AB150" s="523"/>
      <c r="AC150" s="523"/>
      <c r="AD150" s="523"/>
      <c r="AE150" s="523"/>
      <c r="AF150" s="523"/>
      <c r="AG150" s="523"/>
      <c r="AH150" s="523"/>
      <c r="AI150" s="523"/>
      <c r="AJ150" s="523"/>
      <c r="AK150" s="523"/>
      <c r="AL150" s="864" t="s">
        <v>67</v>
      </c>
      <c r="AM150" s="865"/>
      <c r="AN150" s="865"/>
      <c r="AO150" s="865"/>
      <c r="AP150" s="843" t="s">
        <v>246</v>
      </c>
      <c r="AQ150" s="843"/>
      <c r="AR150" s="844"/>
    </row>
    <row r="151" spans="3:44" ht="18" customHeight="1">
      <c r="C151" s="858"/>
      <c r="D151" s="859"/>
      <c r="E151" s="859"/>
      <c r="F151" s="859"/>
      <c r="G151" s="862"/>
      <c r="H151" s="862"/>
      <c r="I151" s="862"/>
      <c r="J151" s="863"/>
      <c r="K151" s="866"/>
      <c r="L151" s="867"/>
      <c r="M151" s="867"/>
      <c r="N151" s="867"/>
      <c r="O151" s="524"/>
      <c r="P151" s="525"/>
      <c r="Q151" s="525"/>
      <c r="R151" s="525"/>
      <c r="S151" s="525"/>
      <c r="T151" s="525"/>
      <c r="U151" s="525"/>
      <c r="V151" s="525"/>
      <c r="W151" s="525"/>
      <c r="X151" s="525"/>
      <c r="Y151" s="525"/>
      <c r="Z151" s="525"/>
      <c r="AA151" s="525"/>
      <c r="AB151" s="525"/>
      <c r="AC151" s="525"/>
      <c r="AD151" s="525"/>
      <c r="AE151" s="525"/>
      <c r="AF151" s="525"/>
      <c r="AG151" s="525"/>
      <c r="AH151" s="525"/>
      <c r="AI151" s="525"/>
      <c r="AJ151" s="525"/>
      <c r="AK151" s="525"/>
      <c r="AL151" s="866"/>
      <c r="AM151" s="867"/>
      <c r="AN151" s="867"/>
      <c r="AO151" s="867"/>
      <c r="AP151" s="845"/>
      <c r="AQ151" s="845"/>
      <c r="AR151" s="846"/>
    </row>
    <row r="153" spans="3:44" ht="18" customHeight="1">
      <c r="C153" s="794" t="s">
        <v>43</v>
      </c>
      <c r="D153" s="774"/>
      <c r="E153" s="775"/>
      <c r="F153" s="773" t="s">
        <v>68</v>
      </c>
      <c r="G153" s="774"/>
      <c r="H153" s="774"/>
      <c r="I153" s="774"/>
      <c r="J153" s="774"/>
      <c r="K153" s="774"/>
      <c r="L153" s="774"/>
      <c r="M153" s="774"/>
      <c r="N153" s="774"/>
      <c r="O153" s="774"/>
      <c r="P153" s="774"/>
      <c r="Q153" s="774"/>
      <c r="R153" s="774"/>
      <c r="S153" s="774"/>
      <c r="T153" s="774"/>
      <c r="U153" s="775"/>
      <c r="V153" s="773" t="s">
        <v>249</v>
      </c>
      <c r="W153" s="774"/>
      <c r="X153" s="775"/>
      <c r="Y153" s="847" t="s">
        <v>69</v>
      </c>
      <c r="Z153" s="848"/>
      <c r="AA153" s="848"/>
      <c r="AB153" s="848"/>
      <c r="AC153" s="848"/>
      <c r="AD153" s="848"/>
      <c r="AE153" s="848"/>
      <c r="AF153" s="849"/>
      <c r="AG153" s="847" t="s">
        <v>70</v>
      </c>
      <c r="AH153" s="848"/>
      <c r="AI153" s="848"/>
      <c r="AJ153" s="848"/>
      <c r="AK153" s="848"/>
      <c r="AL153" s="848"/>
      <c r="AM153" s="848"/>
      <c r="AN153" s="849"/>
      <c r="AO153" s="773" t="s">
        <v>71</v>
      </c>
      <c r="AP153" s="774"/>
      <c r="AQ153" s="774"/>
      <c r="AR153" s="779"/>
    </row>
    <row r="154" spans="3:44" ht="18" customHeight="1">
      <c r="C154" s="795"/>
      <c r="D154" s="777"/>
      <c r="E154" s="778"/>
      <c r="F154" s="776"/>
      <c r="G154" s="777"/>
      <c r="H154" s="777"/>
      <c r="I154" s="777"/>
      <c r="J154" s="777"/>
      <c r="K154" s="777"/>
      <c r="L154" s="777"/>
      <c r="M154" s="777"/>
      <c r="N154" s="777"/>
      <c r="O154" s="777"/>
      <c r="P154" s="777"/>
      <c r="Q154" s="777"/>
      <c r="R154" s="777"/>
      <c r="S154" s="777"/>
      <c r="T154" s="777"/>
      <c r="U154" s="778"/>
      <c r="V154" s="776"/>
      <c r="W154" s="777"/>
      <c r="X154" s="778"/>
      <c r="Y154" s="834" t="s">
        <v>72</v>
      </c>
      <c r="Z154" s="835"/>
      <c r="AA154" s="835"/>
      <c r="AB154" s="836"/>
      <c r="AC154" s="834" t="s">
        <v>73</v>
      </c>
      <c r="AD154" s="835"/>
      <c r="AE154" s="835"/>
      <c r="AF154" s="836"/>
      <c r="AG154" s="834" t="s">
        <v>72</v>
      </c>
      <c r="AH154" s="835"/>
      <c r="AI154" s="835"/>
      <c r="AJ154" s="836"/>
      <c r="AK154" s="834" t="s">
        <v>73</v>
      </c>
      <c r="AL154" s="835"/>
      <c r="AM154" s="835"/>
      <c r="AN154" s="836"/>
      <c r="AO154" s="776"/>
      <c r="AP154" s="777"/>
      <c r="AQ154" s="777"/>
      <c r="AR154" s="780"/>
    </row>
    <row r="155" spans="3:44" ht="18" customHeight="1">
      <c r="C155" s="781" t="s">
        <v>1379</v>
      </c>
      <c r="D155" s="782"/>
      <c r="E155" s="783"/>
      <c r="F155" s="493" t="s">
        <v>468</v>
      </c>
      <c r="G155" s="493"/>
      <c r="H155" s="493"/>
      <c r="I155" s="493"/>
      <c r="J155" s="493"/>
      <c r="K155" s="493"/>
      <c r="L155" s="493"/>
      <c r="M155" s="493"/>
      <c r="N155" s="493"/>
      <c r="O155" s="493"/>
      <c r="P155" s="493"/>
      <c r="Q155" s="493"/>
      <c r="R155" s="493"/>
      <c r="S155" s="493"/>
      <c r="T155" s="493"/>
      <c r="U155" s="493"/>
      <c r="V155" s="837">
        <v>1</v>
      </c>
      <c r="W155" s="838"/>
      <c r="X155" s="839"/>
      <c r="Y155" s="837">
        <v>1</v>
      </c>
      <c r="Z155" s="838"/>
      <c r="AA155" s="838"/>
      <c r="AB155" s="839"/>
      <c r="AC155" s="868">
        <f>1-Y155</f>
        <v>0</v>
      </c>
      <c r="AD155" s="869"/>
      <c r="AE155" s="869"/>
      <c r="AF155" s="870"/>
      <c r="AG155" s="491">
        <f>VLOOKUP(C155,[4]EQUIPAMENTOS!A$1:D$65536,3,FALSE)</f>
        <v>3.1082000000000001</v>
      </c>
      <c r="AH155" s="491"/>
      <c r="AI155" s="491"/>
      <c r="AJ155" s="491"/>
      <c r="AK155" s="491">
        <f>VLOOKUP(C155,[4]EQUIPAMENTOS!A$1:D$65536,4,FALSE)</f>
        <v>0</v>
      </c>
      <c r="AL155" s="491"/>
      <c r="AM155" s="491"/>
      <c r="AN155" s="491"/>
      <c r="AO155" s="491">
        <f>ROUND((Y155*AG155+AC155*AK155)*V155,2)</f>
        <v>3.11</v>
      </c>
      <c r="AP155" s="491"/>
      <c r="AQ155" s="491"/>
      <c r="AR155" s="492"/>
    </row>
    <row r="156" spans="3:44" ht="18" customHeight="1">
      <c r="C156" s="758"/>
      <c r="D156" s="759"/>
      <c r="E156" s="760"/>
      <c r="F156" s="493"/>
      <c r="G156" s="493"/>
      <c r="H156" s="493"/>
      <c r="I156" s="493"/>
      <c r="J156" s="493"/>
      <c r="K156" s="493"/>
      <c r="L156" s="493"/>
      <c r="M156" s="493"/>
      <c r="N156" s="493"/>
      <c r="O156" s="493"/>
      <c r="P156" s="493"/>
      <c r="Q156" s="493"/>
      <c r="R156" s="493"/>
      <c r="S156" s="493"/>
      <c r="T156" s="493"/>
      <c r="U156" s="493"/>
      <c r="V156" s="466"/>
      <c r="W156" s="467"/>
      <c r="X156" s="468"/>
      <c r="Y156" s="466"/>
      <c r="Z156" s="467"/>
      <c r="AA156" s="467"/>
      <c r="AB156" s="468"/>
      <c r="AC156" s="828"/>
      <c r="AD156" s="829"/>
      <c r="AE156" s="829"/>
      <c r="AF156" s="830"/>
      <c r="AG156" s="491"/>
      <c r="AH156" s="491"/>
      <c r="AI156" s="491"/>
      <c r="AJ156" s="491"/>
      <c r="AK156" s="491"/>
      <c r="AL156" s="491"/>
      <c r="AM156" s="491"/>
      <c r="AN156" s="491"/>
      <c r="AO156" s="491"/>
      <c r="AP156" s="491"/>
      <c r="AQ156" s="491"/>
      <c r="AR156" s="492"/>
    </row>
    <row r="157" spans="3:44" ht="18" customHeight="1">
      <c r="C157" s="758"/>
      <c r="D157" s="759"/>
      <c r="E157" s="760"/>
      <c r="F157" s="493"/>
      <c r="G157" s="493"/>
      <c r="H157" s="493"/>
      <c r="I157" s="493"/>
      <c r="J157" s="493"/>
      <c r="K157" s="493"/>
      <c r="L157" s="493"/>
      <c r="M157" s="493"/>
      <c r="N157" s="493"/>
      <c r="O157" s="493"/>
      <c r="P157" s="493"/>
      <c r="Q157" s="493"/>
      <c r="R157" s="493"/>
      <c r="S157" s="493"/>
      <c r="T157" s="493"/>
      <c r="U157" s="493"/>
      <c r="V157" s="466"/>
      <c r="W157" s="467"/>
      <c r="X157" s="468"/>
      <c r="Y157" s="466"/>
      <c r="Z157" s="467"/>
      <c r="AA157" s="467"/>
      <c r="AB157" s="468"/>
      <c r="AC157" s="828"/>
      <c r="AD157" s="829"/>
      <c r="AE157" s="829"/>
      <c r="AF157" s="830"/>
      <c r="AG157" s="491"/>
      <c r="AH157" s="491"/>
      <c r="AI157" s="491"/>
      <c r="AJ157" s="491"/>
      <c r="AK157" s="491"/>
      <c r="AL157" s="491"/>
      <c r="AM157" s="491"/>
      <c r="AN157" s="491"/>
      <c r="AO157" s="491"/>
      <c r="AP157" s="491"/>
      <c r="AQ157" s="491"/>
      <c r="AR157" s="492"/>
    </row>
    <row r="158" spans="3:44" ht="18" customHeight="1">
      <c r="C158" s="758"/>
      <c r="D158" s="759"/>
      <c r="E158" s="760"/>
      <c r="F158" s="493"/>
      <c r="G158" s="493"/>
      <c r="H158" s="493"/>
      <c r="I158" s="493"/>
      <c r="J158" s="493"/>
      <c r="K158" s="493"/>
      <c r="L158" s="493"/>
      <c r="M158" s="493"/>
      <c r="N158" s="493"/>
      <c r="O158" s="493"/>
      <c r="P158" s="493"/>
      <c r="Q158" s="493"/>
      <c r="R158" s="493"/>
      <c r="S158" s="493"/>
      <c r="T158" s="493"/>
      <c r="U158" s="493"/>
      <c r="V158" s="466"/>
      <c r="W158" s="467"/>
      <c r="X158" s="468"/>
      <c r="Y158" s="466"/>
      <c r="Z158" s="467"/>
      <c r="AA158" s="467"/>
      <c r="AB158" s="468"/>
      <c r="AC158" s="828"/>
      <c r="AD158" s="829"/>
      <c r="AE158" s="829"/>
      <c r="AF158" s="830"/>
      <c r="AG158" s="491"/>
      <c r="AH158" s="491"/>
      <c r="AI158" s="491"/>
      <c r="AJ158" s="491"/>
      <c r="AK158" s="491"/>
      <c r="AL158" s="491"/>
      <c r="AM158" s="491"/>
      <c r="AN158" s="491"/>
      <c r="AO158" s="491"/>
      <c r="AP158" s="491"/>
      <c r="AQ158" s="491"/>
      <c r="AR158" s="492"/>
    </row>
    <row r="159" spans="3:44" ht="18" customHeight="1">
      <c r="C159" s="758"/>
      <c r="D159" s="759"/>
      <c r="E159" s="760"/>
      <c r="F159" s="493"/>
      <c r="G159" s="493"/>
      <c r="H159" s="493"/>
      <c r="I159" s="493"/>
      <c r="J159" s="493"/>
      <c r="K159" s="493"/>
      <c r="L159" s="493"/>
      <c r="M159" s="493"/>
      <c r="N159" s="493"/>
      <c r="O159" s="493"/>
      <c r="P159" s="493"/>
      <c r="Q159" s="493"/>
      <c r="R159" s="493"/>
      <c r="S159" s="493"/>
      <c r="T159" s="493"/>
      <c r="U159" s="493"/>
      <c r="V159" s="466"/>
      <c r="W159" s="467"/>
      <c r="X159" s="468"/>
      <c r="Y159" s="466"/>
      <c r="Z159" s="467"/>
      <c r="AA159" s="467"/>
      <c r="AB159" s="468"/>
      <c r="AC159" s="828"/>
      <c r="AD159" s="829"/>
      <c r="AE159" s="829"/>
      <c r="AF159" s="830"/>
      <c r="AG159" s="491"/>
      <c r="AH159" s="491"/>
      <c r="AI159" s="491"/>
      <c r="AJ159" s="491"/>
      <c r="AK159" s="491"/>
      <c r="AL159" s="491"/>
      <c r="AM159" s="491"/>
      <c r="AN159" s="491"/>
      <c r="AO159" s="491"/>
      <c r="AP159" s="491"/>
      <c r="AQ159" s="491"/>
      <c r="AR159" s="492"/>
    </row>
    <row r="160" spans="3:44" ht="18" customHeight="1">
      <c r="C160" s="758"/>
      <c r="D160" s="759"/>
      <c r="E160" s="760"/>
      <c r="F160" s="493"/>
      <c r="G160" s="493"/>
      <c r="H160" s="493"/>
      <c r="I160" s="493"/>
      <c r="J160" s="493"/>
      <c r="K160" s="493"/>
      <c r="L160" s="493"/>
      <c r="M160" s="493"/>
      <c r="N160" s="493"/>
      <c r="O160" s="493"/>
      <c r="P160" s="493"/>
      <c r="Q160" s="493"/>
      <c r="R160" s="493"/>
      <c r="S160" s="493"/>
      <c r="T160" s="493"/>
      <c r="U160" s="493"/>
      <c r="V160" s="466"/>
      <c r="W160" s="467"/>
      <c r="X160" s="468"/>
      <c r="Y160" s="466"/>
      <c r="Z160" s="467"/>
      <c r="AA160" s="467"/>
      <c r="AB160" s="468"/>
      <c r="AC160" s="828"/>
      <c r="AD160" s="829"/>
      <c r="AE160" s="829"/>
      <c r="AF160" s="830"/>
      <c r="AG160" s="491"/>
      <c r="AH160" s="491"/>
      <c r="AI160" s="491"/>
      <c r="AJ160" s="491"/>
      <c r="AK160" s="491"/>
      <c r="AL160" s="491"/>
      <c r="AM160" s="491"/>
      <c r="AN160" s="491"/>
      <c r="AO160" s="491"/>
      <c r="AP160" s="491"/>
      <c r="AQ160" s="491"/>
      <c r="AR160" s="492"/>
    </row>
    <row r="161" spans="3:44" ht="18" customHeight="1">
      <c r="C161" s="758"/>
      <c r="D161" s="759"/>
      <c r="E161" s="760"/>
      <c r="F161" s="796"/>
      <c r="G161" s="797"/>
      <c r="H161" s="797"/>
      <c r="I161" s="797"/>
      <c r="J161" s="797"/>
      <c r="K161" s="797"/>
      <c r="L161" s="797"/>
      <c r="M161" s="797"/>
      <c r="N161" s="797"/>
      <c r="O161" s="797"/>
      <c r="P161" s="797"/>
      <c r="Q161" s="797"/>
      <c r="R161" s="797"/>
      <c r="S161" s="797"/>
      <c r="T161" s="797"/>
      <c r="U161" s="798"/>
      <c r="V161" s="466"/>
      <c r="W161" s="467"/>
      <c r="X161" s="468"/>
      <c r="Y161" s="466"/>
      <c r="Z161" s="467"/>
      <c r="AA161" s="467"/>
      <c r="AB161" s="468"/>
      <c r="AC161" s="828"/>
      <c r="AD161" s="829"/>
      <c r="AE161" s="829"/>
      <c r="AF161" s="830"/>
      <c r="AG161" s="466"/>
      <c r="AH161" s="467"/>
      <c r="AI161" s="467"/>
      <c r="AJ161" s="468"/>
      <c r="AK161" s="466"/>
      <c r="AL161" s="467"/>
      <c r="AM161" s="467"/>
      <c r="AN161" s="468"/>
      <c r="AO161" s="466"/>
      <c r="AP161" s="467"/>
      <c r="AQ161" s="467"/>
      <c r="AR161" s="823"/>
    </row>
    <row r="162" spans="3:44" ht="18" customHeight="1">
      <c r="C162" s="758"/>
      <c r="D162" s="759"/>
      <c r="E162" s="760"/>
      <c r="F162" s="796"/>
      <c r="G162" s="797"/>
      <c r="H162" s="797"/>
      <c r="I162" s="797"/>
      <c r="J162" s="797"/>
      <c r="K162" s="797"/>
      <c r="L162" s="797"/>
      <c r="M162" s="797"/>
      <c r="N162" s="797"/>
      <c r="O162" s="797"/>
      <c r="P162" s="797"/>
      <c r="Q162" s="797"/>
      <c r="R162" s="797"/>
      <c r="S162" s="797"/>
      <c r="T162" s="797"/>
      <c r="U162" s="798"/>
      <c r="V162" s="466"/>
      <c r="W162" s="467"/>
      <c r="X162" s="468"/>
      <c r="Y162" s="466"/>
      <c r="Z162" s="467"/>
      <c r="AA162" s="467"/>
      <c r="AB162" s="468"/>
      <c r="AC162" s="828"/>
      <c r="AD162" s="829"/>
      <c r="AE162" s="829"/>
      <c r="AF162" s="830"/>
      <c r="AG162" s="466"/>
      <c r="AH162" s="467"/>
      <c r="AI162" s="467"/>
      <c r="AJ162" s="468"/>
      <c r="AK162" s="466"/>
      <c r="AL162" s="467"/>
      <c r="AM162" s="467"/>
      <c r="AN162" s="468"/>
      <c r="AO162" s="466"/>
      <c r="AP162" s="467"/>
      <c r="AQ162" s="467"/>
      <c r="AR162" s="823"/>
    </row>
    <row r="163" spans="3:44" ht="18" customHeight="1">
      <c r="C163" s="743"/>
      <c r="D163" s="744"/>
      <c r="E163" s="744"/>
      <c r="F163" s="744"/>
      <c r="G163" s="744"/>
      <c r="H163" s="744"/>
      <c r="I163" s="744"/>
      <c r="J163" s="744"/>
      <c r="K163" s="744"/>
      <c r="L163" s="744"/>
      <c r="M163" s="744"/>
      <c r="N163" s="744"/>
      <c r="O163" s="744"/>
      <c r="P163" s="744"/>
      <c r="Q163" s="744"/>
      <c r="R163" s="744"/>
      <c r="S163" s="744"/>
      <c r="T163" s="744"/>
      <c r="U163" s="744"/>
      <c r="V163" s="744"/>
      <c r="W163" s="744"/>
      <c r="X163" s="824"/>
      <c r="Y163" s="825" t="s">
        <v>74</v>
      </c>
      <c r="Z163" s="826"/>
      <c r="AA163" s="826"/>
      <c r="AB163" s="826"/>
      <c r="AC163" s="826"/>
      <c r="AD163" s="826"/>
      <c r="AE163" s="826"/>
      <c r="AF163" s="826"/>
      <c r="AG163" s="826"/>
      <c r="AH163" s="826"/>
      <c r="AI163" s="826"/>
      <c r="AJ163" s="826"/>
      <c r="AK163" s="826"/>
      <c r="AL163" s="826"/>
      <c r="AM163" s="826"/>
      <c r="AN163" s="827"/>
      <c r="AO163" s="477">
        <f>SUM(AO155:AR162)</f>
        <v>3.11</v>
      </c>
      <c r="AP163" s="746"/>
      <c r="AQ163" s="746"/>
      <c r="AR163" s="747"/>
    </row>
    <row r="165" spans="3:44" ht="18" customHeight="1">
      <c r="C165" s="794" t="s">
        <v>43</v>
      </c>
      <c r="D165" s="774"/>
      <c r="E165" s="775"/>
      <c r="F165" s="773" t="s">
        <v>75</v>
      </c>
      <c r="G165" s="774"/>
      <c r="H165" s="774"/>
      <c r="I165" s="774"/>
      <c r="J165" s="774"/>
      <c r="K165" s="774"/>
      <c r="L165" s="774"/>
      <c r="M165" s="774"/>
      <c r="N165" s="774"/>
      <c r="O165" s="774"/>
      <c r="P165" s="774"/>
      <c r="Q165" s="774"/>
      <c r="R165" s="774"/>
      <c r="S165" s="774"/>
      <c r="T165" s="774"/>
      <c r="U165" s="774"/>
      <c r="V165" s="774"/>
      <c r="W165" s="774"/>
      <c r="X165" s="774"/>
      <c r="Y165" s="774"/>
      <c r="Z165" s="774"/>
      <c r="AA165" s="774"/>
      <c r="AB165" s="775"/>
      <c r="AC165" s="773" t="s">
        <v>76</v>
      </c>
      <c r="AD165" s="774"/>
      <c r="AE165" s="774"/>
      <c r="AF165" s="775"/>
      <c r="AG165" s="773" t="s">
        <v>249</v>
      </c>
      <c r="AH165" s="774"/>
      <c r="AI165" s="774"/>
      <c r="AJ165" s="775"/>
      <c r="AK165" s="773" t="s">
        <v>77</v>
      </c>
      <c r="AL165" s="774"/>
      <c r="AM165" s="774"/>
      <c r="AN165" s="775"/>
      <c r="AO165" s="773" t="s">
        <v>71</v>
      </c>
      <c r="AP165" s="774"/>
      <c r="AQ165" s="774"/>
      <c r="AR165" s="779"/>
    </row>
    <row r="166" spans="3:44" ht="18" customHeight="1">
      <c r="C166" s="795"/>
      <c r="D166" s="777"/>
      <c r="E166" s="778"/>
      <c r="F166" s="776"/>
      <c r="G166" s="777"/>
      <c r="H166" s="777"/>
      <c r="I166" s="777"/>
      <c r="J166" s="777"/>
      <c r="K166" s="777"/>
      <c r="L166" s="777"/>
      <c r="M166" s="777"/>
      <c r="N166" s="777"/>
      <c r="O166" s="777"/>
      <c r="P166" s="777"/>
      <c r="Q166" s="777"/>
      <c r="R166" s="777"/>
      <c r="S166" s="777"/>
      <c r="T166" s="777"/>
      <c r="U166" s="777"/>
      <c r="V166" s="777"/>
      <c r="W166" s="777"/>
      <c r="X166" s="777"/>
      <c r="Y166" s="777"/>
      <c r="Z166" s="777"/>
      <c r="AA166" s="777"/>
      <c r="AB166" s="778"/>
      <c r="AC166" s="776"/>
      <c r="AD166" s="777"/>
      <c r="AE166" s="777"/>
      <c r="AF166" s="778"/>
      <c r="AG166" s="776"/>
      <c r="AH166" s="777"/>
      <c r="AI166" s="777"/>
      <c r="AJ166" s="778"/>
      <c r="AK166" s="776"/>
      <c r="AL166" s="777"/>
      <c r="AM166" s="777"/>
      <c r="AN166" s="778"/>
      <c r="AO166" s="776"/>
      <c r="AP166" s="777"/>
      <c r="AQ166" s="777"/>
      <c r="AR166" s="780"/>
    </row>
    <row r="167" spans="3:44" ht="18" customHeight="1">
      <c r="C167" s="781" t="s">
        <v>940</v>
      </c>
      <c r="D167" s="782"/>
      <c r="E167" s="783"/>
      <c r="F167" s="493" t="s">
        <v>105</v>
      </c>
      <c r="G167" s="493"/>
      <c r="H167" s="493"/>
      <c r="I167" s="493"/>
      <c r="J167" s="493"/>
      <c r="K167" s="493"/>
      <c r="L167" s="493"/>
      <c r="M167" s="493"/>
      <c r="N167" s="493"/>
      <c r="O167" s="493"/>
      <c r="P167" s="493"/>
      <c r="Q167" s="493"/>
      <c r="R167" s="493"/>
      <c r="S167" s="493"/>
      <c r="T167" s="493"/>
      <c r="U167" s="493"/>
      <c r="V167" s="493"/>
      <c r="W167" s="493"/>
      <c r="X167" s="493"/>
      <c r="Y167" s="493"/>
      <c r="Z167" s="493"/>
      <c r="AA167" s="493"/>
      <c r="AB167" s="493"/>
      <c r="AC167" s="770"/>
      <c r="AD167" s="771"/>
      <c r="AE167" s="771"/>
      <c r="AF167" s="790"/>
      <c r="AG167" s="770">
        <v>1</v>
      </c>
      <c r="AH167" s="771"/>
      <c r="AI167" s="771"/>
      <c r="AJ167" s="790"/>
      <c r="AK167" s="449">
        <f>VLOOKUP(C167,[4]MÃODEOBRA!A$1:D$65536,4,FALSE)</f>
        <v>22.98488</v>
      </c>
      <c r="AL167" s="449"/>
      <c r="AM167" s="449"/>
      <c r="AN167" s="449"/>
      <c r="AO167" s="491">
        <f>ROUND(AG167*AK167,2)</f>
        <v>22.98</v>
      </c>
      <c r="AP167" s="491"/>
      <c r="AQ167" s="491"/>
      <c r="AR167" s="492"/>
    </row>
    <row r="168" spans="3:44" ht="18" customHeight="1">
      <c r="C168" s="758" t="s">
        <v>1380</v>
      </c>
      <c r="D168" s="759"/>
      <c r="E168" s="760"/>
      <c r="F168" s="493" t="s">
        <v>469</v>
      </c>
      <c r="G168" s="493"/>
      <c r="H168" s="493"/>
      <c r="I168" s="493"/>
      <c r="J168" s="493"/>
      <c r="K168" s="493"/>
      <c r="L168" s="493"/>
      <c r="M168" s="493"/>
      <c r="N168" s="493"/>
      <c r="O168" s="493"/>
      <c r="P168" s="493"/>
      <c r="Q168" s="493"/>
      <c r="R168" s="493"/>
      <c r="S168" s="493"/>
      <c r="T168" s="493"/>
      <c r="U168" s="493"/>
      <c r="V168" s="493"/>
      <c r="W168" s="493"/>
      <c r="X168" s="493"/>
      <c r="Y168" s="493"/>
      <c r="Z168" s="493"/>
      <c r="AA168" s="493"/>
      <c r="AB168" s="493"/>
      <c r="AC168" s="740"/>
      <c r="AD168" s="741"/>
      <c r="AE168" s="741"/>
      <c r="AF168" s="757"/>
      <c r="AG168" s="740">
        <v>1</v>
      </c>
      <c r="AH168" s="741"/>
      <c r="AI168" s="741"/>
      <c r="AJ168" s="757"/>
      <c r="AK168" s="449">
        <f>VLOOKUP(C168,[4]MÃODEOBRA!A$1:D$65536,4,FALSE)</f>
        <v>11.156079999999999</v>
      </c>
      <c r="AL168" s="449"/>
      <c r="AM168" s="449"/>
      <c r="AN168" s="449"/>
      <c r="AO168" s="491">
        <f>ROUND(AG168*AK168,2)</f>
        <v>11.16</v>
      </c>
      <c r="AP168" s="491"/>
      <c r="AQ168" s="491"/>
      <c r="AR168" s="492"/>
    </row>
    <row r="169" spans="3:44" ht="18" customHeight="1">
      <c r="C169" s="758" t="s">
        <v>943</v>
      </c>
      <c r="D169" s="759"/>
      <c r="E169" s="760"/>
      <c r="F169" s="796" t="s">
        <v>128</v>
      </c>
      <c r="G169" s="797"/>
      <c r="H169" s="797"/>
      <c r="I169" s="797"/>
      <c r="J169" s="797"/>
      <c r="K169" s="797"/>
      <c r="L169" s="797"/>
      <c r="M169" s="797"/>
      <c r="N169" s="797"/>
      <c r="O169" s="797"/>
      <c r="P169" s="797"/>
      <c r="Q169" s="797"/>
      <c r="R169" s="797"/>
      <c r="S169" s="797"/>
      <c r="T169" s="797"/>
      <c r="U169" s="797"/>
      <c r="V169" s="797"/>
      <c r="W169" s="797"/>
      <c r="X169" s="797"/>
      <c r="Y169" s="797"/>
      <c r="Z169" s="797"/>
      <c r="AA169" s="797"/>
      <c r="AB169" s="798"/>
      <c r="AC169" s="740"/>
      <c r="AD169" s="741"/>
      <c r="AE169" s="741"/>
      <c r="AF169" s="757"/>
      <c r="AG169" s="740">
        <v>2</v>
      </c>
      <c r="AH169" s="741"/>
      <c r="AI169" s="741"/>
      <c r="AJ169" s="757"/>
      <c r="AK169" s="449">
        <f>VLOOKUP(C169,[4]MÃODEOBRA!A$1:D$65536,4,FALSE)</f>
        <v>8.6333500000000001</v>
      </c>
      <c r="AL169" s="449"/>
      <c r="AM169" s="449"/>
      <c r="AN169" s="449"/>
      <c r="AO169" s="491">
        <f>ROUND(AG169*AK169,2)</f>
        <v>17.27</v>
      </c>
      <c r="AP169" s="491"/>
      <c r="AQ169" s="491"/>
      <c r="AR169" s="492"/>
    </row>
    <row r="170" spans="3:44" ht="18" customHeight="1">
      <c r="C170" s="758"/>
      <c r="D170" s="759"/>
      <c r="E170" s="760"/>
      <c r="F170" s="796"/>
      <c r="G170" s="797"/>
      <c r="H170" s="797"/>
      <c r="I170" s="797"/>
      <c r="J170" s="797"/>
      <c r="K170" s="797"/>
      <c r="L170" s="797"/>
      <c r="M170" s="797"/>
      <c r="N170" s="797"/>
      <c r="O170" s="797"/>
      <c r="P170" s="797"/>
      <c r="Q170" s="797"/>
      <c r="R170" s="797"/>
      <c r="S170" s="797"/>
      <c r="T170" s="797"/>
      <c r="U170" s="797"/>
      <c r="V170" s="797"/>
      <c r="W170" s="797"/>
      <c r="X170" s="797"/>
      <c r="Y170" s="797"/>
      <c r="Z170" s="797"/>
      <c r="AA170" s="797"/>
      <c r="AB170" s="798"/>
      <c r="AC170" s="740"/>
      <c r="AD170" s="741"/>
      <c r="AE170" s="741"/>
      <c r="AF170" s="757"/>
      <c r="AG170" s="740"/>
      <c r="AH170" s="741"/>
      <c r="AI170" s="741"/>
      <c r="AJ170" s="757"/>
      <c r="AK170" s="740"/>
      <c r="AL170" s="741"/>
      <c r="AM170" s="741"/>
      <c r="AN170" s="757"/>
      <c r="AO170" s="466"/>
      <c r="AP170" s="467"/>
      <c r="AQ170" s="467"/>
      <c r="AR170" s="823"/>
    </row>
    <row r="171" spans="3:44" ht="18" customHeight="1">
      <c r="C171" s="758"/>
      <c r="D171" s="759"/>
      <c r="E171" s="760"/>
      <c r="F171" s="796"/>
      <c r="G171" s="797"/>
      <c r="H171" s="797"/>
      <c r="I171" s="797"/>
      <c r="J171" s="797"/>
      <c r="K171" s="797"/>
      <c r="L171" s="797"/>
      <c r="M171" s="797"/>
      <c r="N171" s="797"/>
      <c r="O171" s="797"/>
      <c r="P171" s="797"/>
      <c r="Q171" s="797"/>
      <c r="R171" s="797"/>
      <c r="S171" s="797"/>
      <c r="T171" s="797"/>
      <c r="U171" s="797"/>
      <c r="V171" s="797"/>
      <c r="W171" s="797"/>
      <c r="X171" s="797"/>
      <c r="Y171" s="797"/>
      <c r="Z171" s="797"/>
      <c r="AA171" s="797"/>
      <c r="AB171" s="798"/>
      <c r="AC171" s="740"/>
      <c r="AD171" s="741"/>
      <c r="AE171" s="741"/>
      <c r="AF171" s="757"/>
      <c r="AG171" s="740"/>
      <c r="AH171" s="741"/>
      <c r="AI171" s="741"/>
      <c r="AJ171" s="757"/>
      <c r="AK171" s="740"/>
      <c r="AL171" s="741"/>
      <c r="AM171" s="741"/>
      <c r="AN171" s="757"/>
      <c r="AO171" s="466"/>
      <c r="AP171" s="467"/>
      <c r="AQ171" s="467"/>
      <c r="AR171" s="823"/>
    </row>
    <row r="172" spans="3:44" ht="18" customHeight="1">
      <c r="C172" s="758"/>
      <c r="D172" s="759"/>
      <c r="E172" s="760"/>
      <c r="F172" s="796"/>
      <c r="G172" s="797"/>
      <c r="H172" s="797"/>
      <c r="I172" s="797"/>
      <c r="J172" s="797"/>
      <c r="K172" s="797"/>
      <c r="L172" s="797"/>
      <c r="M172" s="797"/>
      <c r="N172" s="797"/>
      <c r="O172" s="797"/>
      <c r="P172" s="797"/>
      <c r="Q172" s="797"/>
      <c r="R172" s="797"/>
      <c r="S172" s="797"/>
      <c r="T172" s="797"/>
      <c r="U172" s="797"/>
      <c r="V172" s="797"/>
      <c r="W172" s="797"/>
      <c r="X172" s="797"/>
      <c r="Y172" s="797"/>
      <c r="Z172" s="797"/>
      <c r="AA172" s="797"/>
      <c r="AB172" s="798"/>
      <c r="AC172" s="740"/>
      <c r="AD172" s="741"/>
      <c r="AE172" s="741"/>
      <c r="AF172" s="757"/>
      <c r="AG172" s="740"/>
      <c r="AH172" s="741"/>
      <c r="AI172" s="741"/>
      <c r="AJ172" s="757"/>
      <c r="AK172" s="740"/>
      <c r="AL172" s="741"/>
      <c r="AM172" s="741"/>
      <c r="AN172" s="757"/>
      <c r="AO172" s="466"/>
      <c r="AP172" s="467"/>
      <c r="AQ172" s="467"/>
      <c r="AR172" s="823"/>
    </row>
    <row r="173" spans="3:44" ht="18" customHeight="1">
      <c r="C173" s="758"/>
      <c r="D173" s="759"/>
      <c r="E173" s="760"/>
      <c r="F173" s="796"/>
      <c r="G173" s="797"/>
      <c r="H173" s="797"/>
      <c r="I173" s="797"/>
      <c r="J173" s="797"/>
      <c r="K173" s="797"/>
      <c r="L173" s="797"/>
      <c r="M173" s="797"/>
      <c r="N173" s="797"/>
      <c r="O173" s="797"/>
      <c r="P173" s="797"/>
      <c r="Q173" s="797"/>
      <c r="R173" s="797"/>
      <c r="S173" s="797"/>
      <c r="T173" s="797"/>
      <c r="U173" s="797"/>
      <c r="V173" s="797"/>
      <c r="W173" s="797"/>
      <c r="X173" s="797"/>
      <c r="Y173" s="797"/>
      <c r="Z173" s="797"/>
      <c r="AA173" s="797"/>
      <c r="AB173" s="798"/>
      <c r="AC173" s="740"/>
      <c r="AD173" s="741"/>
      <c r="AE173" s="741"/>
      <c r="AF173" s="757"/>
      <c r="AG173" s="740"/>
      <c r="AH173" s="741"/>
      <c r="AI173" s="741"/>
      <c r="AJ173" s="757"/>
      <c r="AK173" s="740"/>
      <c r="AL173" s="741"/>
      <c r="AM173" s="741"/>
      <c r="AN173" s="757"/>
      <c r="AO173" s="466"/>
      <c r="AP173" s="467"/>
      <c r="AQ173" s="467"/>
      <c r="AR173" s="823"/>
    </row>
    <row r="174" spans="3:44" ht="18" customHeight="1">
      <c r="C174" s="758"/>
      <c r="D174" s="759"/>
      <c r="E174" s="760"/>
      <c r="F174" s="796"/>
      <c r="G174" s="797"/>
      <c r="H174" s="797"/>
      <c r="I174" s="797"/>
      <c r="J174" s="797"/>
      <c r="K174" s="797"/>
      <c r="L174" s="797"/>
      <c r="M174" s="797"/>
      <c r="N174" s="797"/>
      <c r="O174" s="797"/>
      <c r="P174" s="797"/>
      <c r="Q174" s="797"/>
      <c r="R174" s="797"/>
      <c r="S174" s="797"/>
      <c r="T174" s="797"/>
      <c r="U174" s="797"/>
      <c r="V174" s="797"/>
      <c r="W174" s="797"/>
      <c r="X174" s="797"/>
      <c r="Y174" s="797"/>
      <c r="Z174" s="797"/>
      <c r="AA174" s="797"/>
      <c r="AB174" s="798"/>
      <c r="AC174" s="740"/>
      <c r="AD174" s="741"/>
      <c r="AE174" s="741"/>
      <c r="AF174" s="757"/>
      <c r="AG174" s="740"/>
      <c r="AH174" s="741"/>
      <c r="AI174" s="741"/>
      <c r="AJ174" s="757"/>
      <c r="AK174" s="740"/>
      <c r="AL174" s="741"/>
      <c r="AM174" s="741"/>
      <c r="AN174" s="757"/>
      <c r="AO174" s="466"/>
      <c r="AP174" s="467"/>
      <c r="AQ174" s="467"/>
      <c r="AR174" s="823"/>
    </row>
    <row r="175" spans="3:44" ht="18" customHeight="1">
      <c r="C175" s="814"/>
      <c r="D175" s="815"/>
      <c r="E175" s="815"/>
      <c r="F175" s="815"/>
      <c r="G175" s="815"/>
      <c r="H175" s="815"/>
      <c r="I175" s="815"/>
      <c r="J175" s="815"/>
      <c r="K175" s="815"/>
      <c r="L175" s="815"/>
      <c r="M175" s="815"/>
      <c r="N175" s="815"/>
      <c r="O175" s="815"/>
      <c r="P175" s="815"/>
      <c r="Q175" s="815"/>
      <c r="R175" s="815"/>
      <c r="S175" s="815"/>
      <c r="T175" s="815"/>
      <c r="U175" s="815"/>
      <c r="V175" s="815"/>
      <c r="W175" s="815"/>
      <c r="X175" s="815"/>
      <c r="Y175" s="816" t="s">
        <v>78</v>
      </c>
      <c r="Z175" s="816"/>
      <c r="AA175" s="816"/>
      <c r="AB175" s="816"/>
      <c r="AC175" s="816"/>
      <c r="AD175" s="816"/>
      <c r="AE175" s="816"/>
      <c r="AF175" s="483"/>
      <c r="AG175" s="817" t="s">
        <v>267</v>
      </c>
      <c r="AH175" s="818"/>
      <c r="AI175" s="818"/>
      <c r="AJ175" s="819"/>
      <c r="AK175" s="466">
        <f>SUM(AO167:AR174)</f>
        <v>51.41</v>
      </c>
      <c r="AL175" s="467"/>
      <c r="AM175" s="467"/>
      <c r="AN175" s="468"/>
      <c r="AO175" s="820">
        <f>ROUND(AG175*AK175,2)</f>
        <v>10.54</v>
      </c>
      <c r="AP175" s="821"/>
      <c r="AQ175" s="821"/>
      <c r="AR175" s="822"/>
    </row>
    <row r="176" spans="3:44" ht="18" customHeight="1">
      <c r="C176" s="743"/>
      <c r="D176" s="744"/>
      <c r="E176" s="744"/>
      <c r="F176" s="744"/>
      <c r="G176" s="744"/>
      <c r="H176" s="744"/>
      <c r="I176" s="744"/>
      <c r="J176" s="744"/>
      <c r="K176" s="744"/>
      <c r="L176" s="744"/>
      <c r="M176" s="744"/>
      <c r="N176" s="744"/>
      <c r="O176" s="744"/>
      <c r="P176" s="744"/>
      <c r="Q176" s="744"/>
      <c r="R176" s="744"/>
      <c r="S176" s="744"/>
      <c r="T176" s="744"/>
      <c r="U176" s="744"/>
      <c r="V176" s="744"/>
      <c r="W176" s="744"/>
      <c r="X176" s="744"/>
      <c r="Y176" s="745" t="s">
        <v>79</v>
      </c>
      <c r="Z176" s="745"/>
      <c r="AA176" s="745"/>
      <c r="AB176" s="745"/>
      <c r="AC176" s="745"/>
      <c r="AD176" s="745"/>
      <c r="AE176" s="745"/>
      <c r="AF176" s="745"/>
      <c r="AG176" s="745"/>
      <c r="AH176" s="745"/>
      <c r="AI176" s="745"/>
      <c r="AJ176" s="745"/>
      <c r="AK176" s="745"/>
      <c r="AL176" s="745"/>
      <c r="AM176" s="745"/>
      <c r="AN176" s="430"/>
      <c r="AO176" s="477">
        <f>SUM(AO167:AR175)</f>
        <v>61.949999999999996</v>
      </c>
      <c r="AP176" s="746"/>
      <c r="AQ176" s="746"/>
      <c r="AR176" s="747"/>
    </row>
    <row r="178" spans="3:44" ht="18" customHeight="1">
      <c r="C178" s="802"/>
      <c r="D178" s="803"/>
      <c r="E178" s="803"/>
      <c r="F178" s="803"/>
      <c r="G178" s="803"/>
      <c r="H178" s="803"/>
      <c r="I178" s="803"/>
      <c r="J178" s="803"/>
      <c r="K178" s="803"/>
      <c r="L178" s="803"/>
      <c r="M178" s="803"/>
      <c r="N178" s="803"/>
      <c r="O178" s="803"/>
      <c r="P178" s="803"/>
      <c r="Q178" s="803"/>
      <c r="R178" s="803"/>
      <c r="S178" s="803"/>
      <c r="T178" s="803"/>
      <c r="U178" s="803"/>
      <c r="V178" s="803"/>
      <c r="W178" s="803"/>
      <c r="X178" s="803"/>
      <c r="Y178" s="804" t="s">
        <v>80</v>
      </c>
      <c r="Z178" s="805"/>
      <c r="AA178" s="805"/>
      <c r="AB178" s="805"/>
      <c r="AC178" s="805"/>
      <c r="AD178" s="805"/>
      <c r="AE178" s="805"/>
      <c r="AF178" s="805"/>
      <c r="AG178" s="805"/>
      <c r="AH178" s="805"/>
      <c r="AI178" s="805"/>
      <c r="AJ178" s="805"/>
      <c r="AK178" s="805"/>
      <c r="AL178" s="805"/>
      <c r="AM178" s="805"/>
      <c r="AN178" s="806"/>
      <c r="AO178" s="807">
        <f>AO163+AO176</f>
        <v>65.06</v>
      </c>
      <c r="AP178" s="808"/>
      <c r="AQ178" s="808"/>
      <c r="AR178" s="809"/>
    </row>
    <row r="179" spans="3:44" ht="18" customHeight="1">
      <c r="C179" s="810" t="s">
        <v>81</v>
      </c>
      <c r="D179" s="745"/>
      <c r="E179" s="745"/>
      <c r="F179" s="745"/>
      <c r="G179" s="745"/>
      <c r="H179" s="745"/>
      <c r="I179" s="745"/>
      <c r="J179" s="745"/>
      <c r="K179" s="745"/>
      <c r="L179" s="745"/>
      <c r="M179" s="745"/>
      <c r="N179" s="745"/>
      <c r="O179" s="745"/>
      <c r="P179" s="430"/>
      <c r="Q179" s="477">
        <v>10</v>
      </c>
      <c r="R179" s="746"/>
      <c r="S179" s="746"/>
      <c r="T179" s="746"/>
      <c r="U179" s="746"/>
      <c r="V179" s="745" t="s">
        <v>246</v>
      </c>
      <c r="W179" s="745"/>
      <c r="X179" s="430"/>
      <c r="Y179" s="804" t="s">
        <v>82</v>
      </c>
      <c r="Z179" s="805"/>
      <c r="AA179" s="805"/>
      <c r="AB179" s="805"/>
      <c r="AC179" s="805"/>
      <c r="AD179" s="805"/>
      <c r="AE179" s="805"/>
      <c r="AF179" s="805"/>
      <c r="AG179" s="805"/>
      <c r="AH179" s="805"/>
      <c r="AI179" s="805"/>
      <c r="AJ179" s="805"/>
      <c r="AK179" s="805"/>
      <c r="AL179" s="805"/>
      <c r="AM179" s="805"/>
      <c r="AN179" s="806"/>
      <c r="AO179" s="811">
        <f>ROUND(AO178/Q179,2)</f>
        <v>6.51</v>
      </c>
      <c r="AP179" s="812"/>
      <c r="AQ179" s="812"/>
      <c r="AR179" s="813"/>
    </row>
    <row r="181" spans="3:44" ht="18" customHeight="1">
      <c r="C181" s="794" t="s">
        <v>43</v>
      </c>
      <c r="D181" s="774"/>
      <c r="E181" s="775"/>
      <c r="F181" s="773" t="s">
        <v>83</v>
      </c>
      <c r="G181" s="774"/>
      <c r="H181" s="774"/>
      <c r="I181" s="774"/>
      <c r="J181" s="774"/>
      <c r="K181" s="774"/>
      <c r="L181" s="774"/>
      <c r="M181" s="774"/>
      <c r="N181" s="774"/>
      <c r="O181" s="774"/>
      <c r="P181" s="774"/>
      <c r="Q181" s="774"/>
      <c r="R181" s="774"/>
      <c r="S181" s="774"/>
      <c r="T181" s="774"/>
      <c r="U181" s="774"/>
      <c r="V181" s="774"/>
      <c r="W181" s="774"/>
      <c r="X181" s="774"/>
      <c r="Y181" s="774"/>
      <c r="Z181" s="774"/>
      <c r="AA181" s="774"/>
      <c r="AB181" s="775"/>
      <c r="AC181" s="773" t="s">
        <v>84</v>
      </c>
      <c r="AD181" s="774"/>
      <c r="AE181" s="774"/>
      <c r="AF181" s="775"/>
      <c r="AG181" s="773" t="s">
        <v>85</v>
      </c>
      <c r="AH181" s="774"/>
      <c r="AI181" s="774"/>
      <c r="AJ181" s="775"/>
      <c r="AK181" s="773" t="s">
        <v>86</v>
      </c>
      <c r="AL181" s="774"/>
      <c r="AM181" s="774"/>
      <c r="AN181" s="775"/>
      <c r="AO181" s="773" t="s">
        <v>87</v>
      </c>
      <c r="AP181" s="774"/>
      <c r="AQ181" s="774"/>
      <c r="AR181" s="779"/>
    </row>
    <row r="182" spans="3:44" ht="18" customHeight="1">
      <c r="C182" s="795"/>
      <c r="D182" s="777"/>
      <c r="E182" s="778"/>
      <c r="F182" s="776"/>
      <c r="G182" s="777"/>
      <c r="H182" s="777"/>
      <c r="I182" s="777"/>
      <c r="J182" s="777"/>
      <c r="K182" s="777"/>
      <c r="L182" s="777"/>
      <c r="M182" s="777"/>
      <c r="N182" s="777"/>
      <c r="O182" s="777"/>
      <c r="P182" s="777"/>
      <c r="Q182" s="777"/>
      <c r="R182" s="777"/>
      <c r="S182" s="777"/>
      <c r="T182" s="777"/>
      <c r="U182" s="777"/>
      <c r="V182" s="777"/>
      <c r="W182" s="777"/>
      <c r="X182" s="777"/>
      <c r="Y182" s="777"/>
      <c r="Z182" s="777"/>
      <c r="AA182" s="777"/>
      <c r="AB182" s="778"/>
      <c r="AC182" s="776"/>
      <c r="AD182" s="777"/>
      <c r="AE182" s="777"/>
      <c r="AF182" s="778"/>
      <c r="AG182" s="776"/>
      <c r="AH182" s="777"/>
      <c r="AI182" s="777"/>
      <c r="AJ182" s="778"/>
      <c r="AK182" s="776"/>
      <c r="AL182" s="777"/>
      <c r="AM182" s="777"/>
      <c r="AN182" s="778"/>
      <c r="AO182" s="776"/>
      <c r="AP182" s="777"/>
      <c r="AQ182" s="777"/>
      <c r="AR182" s="780"/>
    </row>
    <row r="183" spans="3:44" ht="18" customHeight="1">
      <c r="C183" s="781" t="s">
        <v>239</v>
      </c>
      <c r="D183" s="782"/>
      <c r="E183" s="783"/>
      <c r="F183" s="493" t="s">
        <v>708</v>
      </c>
      <c r="G183" s="493"/>
      <c r="H183" s="493"/>
      <c r="I183" s="493"/>
      <c r="J183" s="493"/>
      <c r="K183" s="493"/>
      <c r="L183" s="493"/>
      <c r="M183" s="493"/>
      <c r="N183" s="493"/>
      <c r="O183" s="493"/>
      <c r="P183" s="493"/>
      <c r="Q183" s="493"/>
      <c r="R183" s="493"/>
      <c r="S183" s="493"/>
      <c r="T183" s="493"/>
      <c r="U183" s="493"/>
      <c r="V183" s="493"/>
      <c r="W183" s="493"/>
      <c r="X183" s="493"/>
      <c r="Y183" s="493"/>
      <c r="Z183" s="493"/>
      <c r="AA183" s="493"/>
      <c r="AB183" s="493"/>
      <c r="AC183" s="471" t="s">
        <v>246</v>
      </c>
      <c r="AD183" s="803"/>
      <c r="AE183" s="803"/>
      <c r="AF183" s="871"/>
      <c r="AG183" s="491">
        <v>3.08</v>
      </c>
      <c r="AH183" s="491"/>
      <c r="AI183" s="491"/>
      <c r="AJ183" s="491"/>
      <c r="AK183" s="791">
        <v>1</v>
      </c>
      <c r="AL183" s="792"/>
      <c r="AM183" s="792"/>
      <c r="AN183" s="793"/>
      <c r="AO183" s="449">
        <f>ROUND(AG183*AK183,2)</f>
        <v>3.08</v>
      </c>
      <c r="AP183" s="449"/>
      <c r="AQ183" s="449"/>
      <c r="AR183" s="450"/>
    </row>
    <row r="184" spans="3:44" ht="18" customHeight="1">
      <c r="C184" s="758" t="s">
        <v>1382</v>
      </c>
      <c r="D184" s="759"/>
      <c r="E184" s="760"/>
      <c r="F184" s="796" t="s">
        <v>471</v>
      </c>
      <c r="G184" s="797"/>
      <c r="H184" s="797"/>
      <c r="I184" s="797"/>
      <c r="J184" s="797"/>
      <c r="K184" s="797"/>
      <c r="L184" s="797"/>
      <c r="M184" s="797"/>
      <c r="N184" s="797"/>
      <c r="O184" s="797"/>
      <c r="P184" s="797"/>
      <c r="Q184" s="797"/>
      <c r="R184" s="797"/>
      <c r="S184" s="797"/>
      <c r="T184" s="797"/>
      <c r="U184" s="797"/>
      <c r="V184" s="797"/>
      <c r="W184" s="797"/>
      <c r="X184" s="797"/>
      <c r="Y184" s="797"/>
      <c r="Z184" s="797"/>
      <c r="AA184" s="797"/>
      <c r="AB184" s="798"/>
      <c r="AC184" s="799" t="s">
        <v>246</v>
      </c>
      <c r="AD184" s="800"/>
      <c r="AE184" s="800"/>
      <c r="AF184" s="801"/>
      <c r="AG184" s="466">
        <f>VLOOKUP(C184,[4]MATERIAL!A$1:D$65536,4,FALSE)</f>
        <v>8.84</v>
      </c>
      <c r="AH184" s="467"/>
      <c r="AI184" s="467"/>
      <c r="AJ184" s="468"/>
      <c r="AK184" s="737">
        <v>0.15</v>
      </c>
      <c r="AL184" s="738"/>
      <c r="AM184" s="738"/>
      <c r="AN184" s="739"/>
      <c r="AO184" s="449">
        <f>ROUND(AG184*AK184,2)</f>
        <v>1.33</v>
      </c>
      <c r="AP184" s="449"/>
      <c r="AQ184" s="449"/>
      <c r="AR184" s="450"/>
    </row>
    <row r="185" spans="3:44" ht="18" customHeight="1">
      <c r="C185" s="758"/>
      <c r="D185" s="759"/>
      <c r="E185" s="760"/>
      <c r="F185" s="796"/>
      <c r="G185" s="797"/>
      <c r="H185" s="797"/>
      <c r="I185" s="797"/>
      <c r="J185" s="797"/>
      <c r="K185" s="797"/>
      <c r="L185" s="797"/>
      <c r="M185" s="797"/>
      <c r="N185" s="797"/>
      <c r="O185" s="797"/>
      <c r="P185" s="797"/>
      <c r="Q185" s="797"/>
      <c r="R185" s="797"/>
      <c r="S185" s="797"/>
      <c r="T185" s="797"/>
      <c r="U185" s="797"/>
      <c r="V185" s="797"/>
      <c r="W185" s="797"/>
      <c r="X185" s="797"/>
      <c r="Y185" s="797"/>
      <c r="Z185" s="797"/>
      <c r="AA185" s="797"/>
      <c r="AB185" s="798"/>
      <c r="AC185" s="799"/>
      <c r="AD185" s="800"/>
      <c r="AE185" s="800"/>
      <c r="AF185" s="801"/>
      <c r="AG185" s="466"/>
      <c r="AH185" s="467"/>
      <c r="AI185" s="467"/>
      <c r="AJ185" s="468"/>
      <c r="AK185" s="737"/>
      <c r="AL185" s="738"/>
      <c r="AM185" s="738"/>
      <c r="AN185" s="739"/>
      <c r="AO185" s="740"/>
      <c r="AP185" s="741"/>
      <c r="AQ185" s="741"/>
      <c r="AR185" s="742"/>
    </row>
    <row r="186" spans="3:44" ht="18" customHeight="1">
      <c r="C186" s="758"/>
      <c r="D186" s="759"/>
      <c r="E186" s="760"/>
      <c r="F186" s="796">
        <v>0</v>
      </c>
      <c r="G186" s="797"/>
      <c r="H186" s="797"/>
      <c r="I186" s="797"/>
      <c r="J186" s="797"/>
      <c r="K186" s="797"/>
      <c r="L186" s="797"/>
      <c r="M186" s="797"/>
      <c r="N186" s="797"/>
      <c r="O186" s="797"/>
      <c r="P186" s="797"/>
      <c r="Q186" s="797"/>
      <c r="R186" s="797"/>
      <c r="S186" s="797"/>
      <c r="T186" s="797"/>
      <c r="U186" s="797"/>
      <c r="V186" s="797"/>
      <c r="W186" s="797"/>
      <c r="X186" s="797"/>
      <c r="Y186" s="797"/>
      <c r="Z186" s="797"/>
      <c r="AA186" s="797"/>
      <c r="AB186" s="798"/>
      <c r="AC186" s="799"/>
      <c r="AD186" s="800"/>
      <c r="AE186" s="800"/>
      <c r="AF186" s="801"/>
      <c r="AG186" s="466"/>
      <c r="AH186" s="467"/>
      <c r="AI186" s="467"/>
      <c r="AJ186" s="468"/>
      <c r="AK186" s="737"/>
      <c r="AL186" s="738"/>
      <c r="AM186" s="738"/>
      <c r="AN186" s="739"/>
      <c r="AO186" s="740"/>
      <c r="AP186" s="741"/>
      <c r="AQ186" s="741"/>
      <c r="AR186" s="742"/>
    </row>
    <row r="187" spans="3:44" ht="18" customHeight="1">
      <c r="C187" s="758"/>
      <c r="D187" s="759"/>
      <c r="E187" s="760"/>
      <c r="F187" s="796">
        <v>0</v>
      </c>
      <c r="G187" s="797"/>
      <c r="H187" s="797"/>
      <c r="I187" s="797"/>
      <c r="J187" s="797"/>
      <c r="K187" s="797"/>
      <c r="L187" s="797"/>
      <c r="M187" s="797"/>
      <c r="N187" s="797"/>
      <c r="O187" s="797"/>
      <c r="P187" s="797"/>
      <c r="Q187" s="797"/>
      <c r="R187" s="797"/>
      <c r="S187" s="797"/>
      <c r="T187" s="797"/>
      <c r="U187" s="797"/>
      <c r="V187" s="797"/>
      <c r="W187" s="797"/>
      <c r="X187" s="797"/>
      <c r="Y187" s="797"/>
      <c r="Z187" s="797"/>
      <c r="AA187" s="797"/>
      <c r="AB187" s="798"/>
      <c r="AC187" s="799">
        <v>0</v>
      </c>
      <c r="AD187" s="800"/>
      <c r="AE187" s="800"/>
      <c r="AF187" s="801"/>
      <c r="AG187" s="466">
        <v>0</v>
      </c>
      <c r="AH187" s="467"/>
      <c r="AI187" s="467"/>
      <c r="AJ187" s="468"/>
      <c r="AK187" s="737"/>
      <c r="AL187" s="738"/>
      <c r="AM187" s="738"/>
      <c r="AN187" s="739"/>
      <c r="AO187" s="740">
        <f>ROUND(AG187*AK187,2)</f>
        <v>0</v>
      </c>
      <c r="AP187" s="741"/>
      <c r="AQ187" s="741"/>
      <c r="AR187" s="742"/>
    </row>
    <row r="188" spans="3:44" ht="18" customHeight="1">
      <c r="C188" s="758"/>
      <c r="D188" s="759"/>
      <c r="E188" s="760"/>
      <c r="F188" s="796"/>
      <c r="G188" s="797"/>
      <c r="H188" s="797"/>
      <c r="I188" s="797"/>
      <c r="J188" s="797"/>
      <c r="K188" s="797"/>
      <c r="L188" s="797"/>
      <c r="M188" s="797"/>
      <c r="N188" s="797"/>
      <c r="O188" s="797"/>
      <c r="P188" s="797"/>
      <c r="Q188" s="797"/>
      <c r="R188" s="797"/>
      <c r="S188" s="797"/>
      <c r="T188" s="797"/>
      <c r="U188" s="797"/>
      <c r="V188" s="797"/>
      <c r="W188" s="797"/>
      <c r="X188" s="797"/>
      <c r="Y188" s="797"/>
      <c r="Z188" s="797"/>
      <c r="AA188" s="797"/>
      <c r="AB188" s="798"/>
      <c r="AC188" s="799"/>
      <c r="AD188" s="800"/>
      <c r="AE188" s="800"/>
      <c r="AF188" s="801"/>
      <c r="AG188" s="466"/>
      <c r="AH188" s="467"/>
      <c r="AI188" s="467"/>
      <c r="AJ188" s="468"/>
      <c r="AK188" s="737"/>
      <c r="AL188" s="738"/>
      <c r="AM188" s="738"/>
      <c r="AN188" s="739"/>
      <c r="AO188" s="740"/>
      <c r="AP188" s="741"/>
      <c r="AQ188" s="741"/>
      <c r="AR188" s="742"/>
    </row>
    <row r="189" spans="3:44" ht="18" customHeight="1">
      <c r="C189" s="758"/>
      <c r="D189" s="759"/>
      <c r="E189" s="760"/>
      <c r="F189" s="796"/>
      <c r="G189" s="797"/>
      <c r="H189" s="797"/>
      <c r="I189" s="797"/>
      <c r="J189" s="797"/>
      <c r="K189" s="797"/>
      <c r="L189" s="797"/>
      <c r="M189" s="797"/>
      <c r="N189" s="797"/>
      <c r="O189" s="797"/>
      <c r="P189" s="797"/>
      <c r="Q189" s="797"/>
      <c r="R189" s="797"/>
      <c r="S189" s="797"/>
      <c r="T189" s="797"/>
      <c r="U189" s="797"/>
      <c r="V189" s="797"/>
      <c r="W189" s="797"/>
      <c r="X189" s="797"/>
      <c r="Y189" s="797"/>
      <c r="Z189" s="797"/>
      <c r="AA189" s="797"/>
      <c r="AB189" s="798"/>
      <c r="AC189" s="799"/>
      <c r="AD189" s="800"/>
      <c r="AE189" s="800"/>
      <c r="AF189" s="801"/>
      <c r="AG189" s="466"/>
      <c r="AH189" s="467"/>
      <c r="AI189" s="467"/>
      <c r="AJ189" s="468"/>
      <c r="AK189" s="737"/>
      <c r="AL189" s="738"/>
      <c r="AM189" s="738"/>
      <c r="AN189" s="739"/>
      <c r="AO189" s="740"/>
      <c r="AP189" s="741"/>
      <c r="AQ189" s="741"/>
      <c r="AR189" s="742"/>
    </row>
    <row r="190" spans="3:44" ht="18" customHeight="1">
      <c r="C190" s="758"/>
      <c r="D190" s="759"/>
      <c r="E190" s="760"/>
      <c r="F190" s="796"/>
      <c r="G190" s="797"/>
      <c r="H190" s="797"/>
      <c r="I190" s="797"/>
      <c r="J190" s="797"/>
      <c r="K190" s="797"/>
      <c r="L190" s="797"/>
      <c r="M190" s="797"/>
      <c r="N190" s="797"/>
      <c r="O190" s="797"/>
      <c r="P190" s="797"/>
      <c r="Q190" s="797"/>
      <c r="R190" s="797"/>
      <c r="S190" s="797"/>
      <c r="T190" s="797"/>
      <c r="U190" s="797"/>
      <c r="V190" s="797"/>
      <c r="W190" s="797"/>
      <c r="X190" s="797"/>
      <c r="Y190" s="797"/>
      <c r="Z190" s="797"/>
      <c r="AA190" s="797"/>
      <c r="AB190" s="798"/>
      <c r="AC190" s="799"/>
      <c r="AD190" s="800"/>
      <c r="AE190" s="800"/>
      <c r="AF190" s="801"/>
      <c r="AG190" s="466"/>
      <c r="AH190" s="467"/>
      <c r="AI190" s="467"/>
      <c r="AJ190" s="468"/>
      <c r="AK190" s="737"/>
      <c r="AL190" s="738"/>
      <c r="AM190" s="738"/>
      <c r="AN190" s="739"/>
      <c r="AO190" s="740"/>
      <c r="AP190" s="741"/>
      <c r="AQ190" s="741"/>
      <c r="AR190" s="742"/>
    </row>
    <row r="191" spans="3:44" ht="18" customHeight="1">
      <c r="C191" s="743"/>
      <c r="D191" s="744"/>
      <c r="E191" s="744"/>
      <c r="F191" s="744"/>
      <c r="G191" s="744"/>
      <c r="H191" s="744"/>
      <c r="I191" s="744"/>
      <c r="J191" s="744"/>
      <c r="K191" s="744"/>
      <c r="L191" s="744"/>
      <c r="M191" s="744"/>
      <c r="N191" s="744"/>
      <c r="O191" s="744"/>
      <c r="P191" s="744"/>
      <c r="Q191" s="744"/>
      <c r="R191" s="744"/>
      <c r="S191" s="744"/>
      <c r="T191" s="744"/>
      <c r="U191" s="744"/>
      <c r="V191" s="744"/>
      <c r="W191" s="744"/>
      <c r="X191" s="744"/>
      <c r="Y191" s="745" t="s">
        <v>88</v>
      </c>
      <c r="Z191" s="745"/>
      <c r="AA191" s="745"/>
      <c r="AB191" s="745"/>
      <c r="AC191" s="745"/>
      <c r="AD191" s="745"/>
      <c r="AE191" s="745"/>
      <c r="AF191" s="745"/>
      <c r="AG191" s="745"/>
      <c r="AH191" s="745"/>
      <c r="AI191" s="745"/>
      <c r="AJ191" s="745"/>
      <c r="AK191" s="745"/>
      <c r="AL191" s="745"/>
      <c r="AM191" s="745"/>
      <c r="AN191" s="430"/>
      <c r="AO191" s="477">
        <f>SUM(AO183:AR190)</f>
        <v>4.41</v>
      </c>
      <c r="AP191" s="746"/>
      <c r="AQ191" s="746"/>
      <c r="AR191" s="747"/>
    </row>
    <row r="193" spans="1:44" ht="18" customHeight="1">
      <c r="C193" s="794" t="s">
        <v>43</v>
      </c>
      <c r="D193" s="774"/>
      <c r="E193" s="775"/>
      <c r="F193" s="773" t="s">
        <v>89</v>
      </c>
      <c r="G193" s="774"/>
      <c r="H193" s="774"/>
      <c r="I193" s="774"/>
      <c r="J193" s="774"/>
      <c r="K193" s="774"/>
      <c r="L193" s="774"/>
      <c r="M193" s="774"/>
      <c r="N193" s="774"/>
      <c r="O193" s="774"/>
      <c r="P193" s="774"/>
      <c r="Q193" s="774"/>
      <c r="R193" s="775"/>
      <c r="S193" s="773" t="s">
        <v>90</v>
      </c>
      <c r="T193" s="774"/>
      <c r="U193" s="775"/>
      <c r="V193" s="773" t="s">
        <v>91</v>
      </c>
      <c r="W193" s="774"/>
      <c r="X193" s="775"/>
      <c r="Y193" s="773" t="s">
        <v>92</v>
      </c>
      <c r="Z193" s="774"/>
      <c r="AA193" s="774"/>
      <c r="AB193" s="774"/>
      <c r="AC193" s="774"/>
      <c r="AD193" s="775"/>
      <c r="AE193" s="773" t="s">
        <v>93</v>
      </c>
      <c r="AF193" s="774"/>
      <c r="AG193" s="775"/>
      <c r="AH193" s="773" t="s">
        <v>94</v>
      </c>
      <c r="AI193" s="774"/>
      <c r="AJ193" s="775"/>
      <c r="AK193" s="773" t="s">
        <v>86</v>
      </c>
      <c r="AL193" s="774"/>
      <c r="AM193" s="774"/>
      <c r="AN193" s="775"/>
      <c r="AO193" s="773" t="s">
        <v>87</v>
      </c>
      <c r="AP193" s="774"/>
      <c r="AQ193" s="774"/>
      <c r="AR193" s="779"/>
    </row>
    <row r="194" spans="1:44" ht="18" customHeight="1">
      <c r="C194" s="795"/>
      <c r="D194" s="777"/>
      <c r="E194" s="778"/>
      <c r="F194" s="776"/>
      <c r="G194" s="777"/>
      <c r="H194" s="777"/>
      <c r="I194" s="777"/>
      <c r="J194" s="777"/>
      <c r="K194" s="777"/>
      <c r="L194" s="777"/>
      <c r="M194" s="777"/>
      <c r="N194" s="777"/>
      <c r="O194" s="777"/>
      <c r="P194" s="777"/>
      <c r="Q194" s="777"/>
      <c r="R194" s="778"/>
      <c r="S194" s="776"/>
      <c r="T194" s="777"/>
      <c r="U194" s="778"/>
      <c r="V194" s="776"/>
      <c r="W194" s="777"/>
      <c r="X194" s="778"/>
      <c r="Y194" s="776"/>
      <c r="Z194" s="777"/>
      <c r="AA194" s="777"/>
      <c r="AB194" s="777"/>
      <c r="AC194" s="777"/>
      <c r="AD194" s="778"/>
      <c r="AE194" s="776"/>
      <c r="AF194" s="777"/>
      <c r="AG194" s="778"/>
      <c r="AH194" s="776"/>
      <c r="AI194" s="777"/>
      <c r="AJ194" s="778"/>
      <c r="AK194" s="776"/>
      <c r="AL194" s="777"/>
      <c r="AM194" s="777"/>
      <c r="AN194" s="778"/>
      <c r="AO194" s="776"/>
      <c r="AP194" s="777"/>
      <c r="AQ194" s="777"/>
      <c r="AR194" s="780"/>
    </row>
    <row r="195" spans="1:44" ht="18" customHeight="1">
      <c r="C195" s="781"/>
      <c r="D195" s="782"/>
      <c r="E195" s="783"/>
      <c r="F195" s="457"/>
      <c r="G195" s="457"/>
      <c r="H195" s="457"/>
      <c r="I195" s="457"/>
      <c r="J195" s="457"/>
      <c r="K195" s="457"/>
      <c r="L195" s="457"/>
      <c r="M195" s="457"/>
      <c r="N195" s="457"/>
      <c r="O195" s="457"/>
      <c r="P195" s="457"/>
      <c r="Q195" s="457"/>
      <c r="R195" s="457"/>
      <c r="S195" s="784"/>
      <c r="T195" s="785"/>
      <c r="U195" s="786"/>
      <c r="V195" s="784"/>
      <c r="W195" s="785"/>
      <c r="X195" s="786"/>
      <c r="Y195" s="787"/>
      <c r="Z195" s="788"/>
      <c r="AA195" s="788"/>
      <c r="AB195" s="788"/>
      <c r="AC195" s="788"/>
      <c r="AD195" s="789"/>
      <c r="AE195" s="449"/>
      <c r="AF195" s="449"/>
      <c r="AG195" s="449"/>
      <c r="AH195" s="770"/>
      <c r="AI195" s="771"/>
      <c r="AJ195" s="790"/>
      <c r="AK195" s="791"/>
      <c r="AL195" s="792"/>
      <c r="AM195" s="792"/>
      <c r="AN195" s="793"/>
      <c r="AO195" s="770"/>
      <c r="AP195" s="771"/>
      <c r="AQ195" s="771"/>
      <c r="AR195" s="772"/>
    </row>
    <row r="196" spans="1:44" ht="18" customHeight="1">
      <c r="C196" s="758"/>
      <c r="D196" s="759"/>
      <c r="E196" s="760"/>
      <c r="F196" s="761"/>
      <c r="G196" s="762"/>
      <c r="H196" s="762"/>
      <c r="I196" s="762"/>
      <c r="J196" s="762"/>
      <c r="K196" s="762"/>
      <c r="L196" s="762"/>
      <c r="M196" s="762"/>
      <c r="N196" s="762"/>
      <c r="O196" s="762"/>
      <c r="P196" s="762"/>
      <c r="Q196" s="762"/>
      <c r="R196" s="763"/>
      <c r="S196" s="764"/>
      <c r="T196" s="765"/>
      <c r="U196" s="766"/>
      <c r="V196" s="764"/>
      <c r="W196" s="765"/>
      <c r="X196" s="766"/>
      <c r="Y196" s="767"/>
      <c r="Z196" s="768"/>
      <c r="AA196" s="768"/>
      <c r="AB196" s="768"/>
      <c r="AC196" s="768"/>
      <c r="AD196" s="769"/>
      <c r="AE196" s="740"/>
      <c r="AF196" s="741"/>
      <c r="AG196" s="757"/>
      <c r="AH196" s="740"/>
      <c r="AI196" s="741"/>
      <c r="AJ196" s="757"/>
      <c r="AK196" s="737"/>
      <c r="AL196" s="738"/>
      <c r="AM196" s="738"/>
      <c r="AN196" s="739"/>
      <c r="AO196" s="740">
        <f t="shared" ref="AO196:AO202" si="2">ROUND(AE196*AH196*AK196,2)</f>
        <v>0</v>
      </c>
      <c r="AP196" s="741"/>
      <c r="AQ196" s="741"/>
      <c r="AR196" s="742"/>
    </row>
    <row r="197" spans="1:44" ht="18" customHeight="1">
      <c r="C197" s="758"/>
      <c r="D197" s="759"/>
      <c r="E197" s="760"/>
      <c r="F197" s="761"/>
      <c r="G197" s="762"/>
      <c r="H197" s="762"/>
      <c r="I197" s="762"/>
      <c r="J197" s="762"/>
      <c r="K197" s="762"/>
      <c r="L197" s="762"/>
      <c r="M197" s="762"/>
      <c r="N197" s="762"/>
      <c r="O197" s="762"/>
      <c r="P197" s="762"/>
      <c r="Q197" s="762"/>
      <c r="R197" s="763"/>
      <c r="S197" s="764"/>
      <c r="T197" s="765"/>
      <c r="U197" s="766"/>
      <c r="V197" s="764"/>
      <c r="W197" s="765"/>
      <c r="X197" s="766"/>
      <c r="Y197" s="767"/>
      <c r="Z197" s="768"/>
      <c r="AA197" s="768"/>
      <c r="AB197" s="768"/>
      <c r="AC197" s="768"/>
      <c r="AD197" s="769"/>
      <c r="AE197" s="740"/>
      <c r="AF197" s="741"/>
      <c r="AG197" s="757"/>
      <c r="AH197" s="740"/>
      <c r="AI197" s="741"/>
      <c r="AJ197" s="757"/>
      <c r="AK197" s="737"/>
      <c r="AL197" s="738"/>
      <c r="AM197" s="738"/>
      <c r="AN197" s="739"/>
      <c r="AO197" s="740">
        <f t="shared" si="2"/>
        <v>0</v>
      </c>
      <c r="AP197" s="741"/>
      <c r="AQ197" s="741"/>
      <c r="AR197" s="742"/>
    </row>
    <row r="198" spans="1:44" ht="18" customHeight="1">
      <c r="C198" s="758"/>
      <c r="D198" s="759"/>
      <c r="E198" s="760"/>
      <c r="F198" s="761"/>
      <c r="G198" s="762"/>
      <c r="H198" s="762"/>
      <c r="I198" s="762"/>
      <c r="J198" s="762"/>
      <c r="K198" s="762"/>
      <c r="L198" s="762"/>
      <c r="M198" s="762"/>
      <c r="N198" s="762"/>
      <c r="O198" s="762"/>
      <c r="P198" s="762"/>
      <c r="Q198" s="762"/>
      <c r="R198" s="763"/>
      <c r="S198" s="764"/>
      <c r="T198" s="765"/>
      <c r="U198" s="766"/>
      <c r="V198" s="764"/>
      <c r="W198" s="765"/>
      <c r="X198" s="766"/>
      <c r="Y198" s="767"/>
      <c r="Z198" s="768"/>
      <c r="AA198" s="768"/>
      <c r="AB198" s="768"/>
      <c r="AC198" s="768"/>
      <c r="AD198" s="769"/>
      <c r="AE198" s="740"/>
      <c r="AF198" s="741"/>
      <c r="AG198" s="757"/>
      <c r="AH198" s="740"/>
      <c r="AI198" s="741"/>
      <c r="AJ198" s="757"/>
      <c r="AK198" s="737"/>
      <c r="AL198" s="738"/>
      <c r="AM198" s="738"/>
      <c r="AN198" s="739"/>
      <c r="AO198" s="740">
        <f t="shared" si="2"/>
        <v>0</v>
      </c>
      <c r="AP198" s="741"/>
      <c r="AQ198" s="741"/>
      <c r="AR198" s="742"/>
    </row>
    <row r="199" spans="1:44" ht="18" customHeight="1">
      <c r="C199" s="758"/>
      <c r="D199" s="759"/>
      <c r="E199" s="760"/>
      <c r="F199" s="761"/>
      <c r="G199" s="762"/>
      <c r="H199" s="762"/>
      <c r="I199" s="762"/>
      <c r="J199" s="762"/>
      <c r="K199" s="762"/>
      <c r="L199" s="762"/>
      <c r="M199" s="762"/>
      <c r="N199" s="762"/>
      <c r="O199" s="762"/>
      <c r="P199" s="762"/>
      <c r="Q199" s="762"/>
      <c r="R199" s="763"/>
      <c r="S199" s="764"/>
      <c r="T199" s="765"/>
      <c r="U199" s="766"/>
      <c r="V199" s="764"/>
      <c r="W199" s="765"/>
      <c r="X199" s="766"/>
      <c r="Y199" s="767"/>
      <c r="Z199" s="768"/>
      <c r="AA199" s="768"/>
      <c r="AB199" s="768"/>
      <c r="AC199" s="768"/>
      <c r="AD199" s="769"/>
      <c r="AE199" s="740"/>
      <c r="AF199" s="741"/>
      <c r="AG199" s="757"/>
      <c r="AH199" s="740"/>
      <c r="AI199" s="741"/>
      <c r="AJ199" s="757"/>
      <c r="AK199" s="737"/>
      <c r="AL199" s="738"/>
      <c r="AM199" s="738"/>
      <c r="AN199" s="739"/>
      <c r="AO199" s="740">
        <f t="shared" si="2"/>
        <v>0</v>
      </c>
      <c r="AP199" s="741"/>
      <c r="AQ199" s="741"/>
      <c r="AR199" s="742"/>
    </row>
    <row r="200" spans="1:44" ht="18" customHeight="1">
      <c r="C200" s="758"/>
      <c r="D200" s="759"/>
      <c r="E200" s="760"/>
      <c r="F200" s="761"/>
      <c r="G200" s="762"/>
      <c r="H200" s="762"/>
      <c r="I200" s="762"/>
      <c r="J200" s="762"/>
      <c r="K200" s="762"/>
      <c r="L200" s="762"/>
      <c r="M200" s="762"/>
      <c r="N200" s="762"/>
      <c r="O200" s="762"/>
      <c r="P200" s="762"/>
      <c r="Q200" s="762"/>
      <c r="R200" s="763"/>
      <c r="S200" s="764"/>
      <c r="T200" s="765"/>
      <c r="U200" s="766"/>
      <c r="V200" s="764"/>
      <c r="W200" s="765"/>
      <c r="X200" s="766"/>
      <c r="Y200" s="767"/>
      <c r="Z200" s="768"/>
      <c r="AA200" s="768"/>
      <c r="AB200" s="768"/>
      <c r="AC200" s="768"/>
      <c r="AD200" s="769"/>
      <c r="AE200" s="740"/>
      <c r="AF200" s="741"/>
      <c r="AG200" s="757"/>
      <c r="AH200" s="740"/>
      <c r="AI200" s="741"/>
      <c r="AJ200" s="757"/>
      <c r="AK200" s="737"/>
      <c r="AL200" s="738"/>
      <c r="AM200" s="738"/>
      <c r="AN200" s="739"/>
      <c r="AO200" s="740">
        <f t="shared" si="2"/>
        <v>0</v>
      </c>
      <c r="AP200" s="741"/>
      <c r="AQ200" s="741"/>
      <c r="AR200" s="742"/>
    </row>
    <row r="201" spans="1:44" ht="18" customHeight="1">
      <c r="C201" s="758"/>
      <c r="D201" s="759"/>
      <c r="E201" s="760"/>
      <c r="F201" s="761"/>
      <c r="G201" s="762"/>
      <c r="H201" s="762"/>
      <c r="I201" s="762"/>
      <c r="J201" s="762"/>
      <c r="K201" s="762"/>
      <c r="L201" s="762"/>
      <c r="M201" s="762"/>
      <c r="N201" s="762"/>
      <c r="O201" s="762"/>
      <c r="P201" s="762"/>
      <c r="Q201" s="762"/>
      <c r="R201" s="763"/>
      <c r="S201" s="764"/>
      <c r="T201" s="765"/>
      <c r="U201" s="766"/>
      <c r="V201" s="764"/>
      <c r="W201" s="765"/>
      <c r="X201" s="766"/>
      <c r="Y201" s="767"/>
      <c r="Z201" s="768"/>
      <c r="AA201" s="768"/>
      <c r="AB201" s="768"/>
      <c r="AC201" s="768"/>
      <c r="AD201" s="769"/>
      <c r="AE201" s="740"/>
      <c r="AF201" s="741"/>
      <c r="AG201" s="757"/>
      <c r="AH201" s="740"/>
      <c r="AI201" s="741"/>
      <c r="AJ201" s="757"/>
      <c r="AK201" s="737"/>
      <c r="AL201" s="738"/>
      <c r="AM201" s="738"/>
      <c r="AN201" s="739"/>
      <c r="AO201" s="740">
        <f t="shared" si="2"/>
        <v>0</v>
      </c>
      <c r="AP201" s="741"/>
      <c r="AQ201" s="741"/>
      <c r="AR201" s="742"/>
    </row>
    <row r="202" spans="1:44" ht="18" customHeight="1">
      <c r="C202" s="758"/>
      <c r="D202" s="759"/>
      <c r="E202" s="760"/>
      <c r="F202" s="761"/>
      <c r="G202" s="762"/>
      <c r="H202" s="762"/>
      <c r="I202" s="762"/>
      <c r="J202" s="762"/>
      <c r="K202" s="762"/>
      <c r="L202" s="762"/>
      <c r="M202" s="762"/>
      <c r="N202" s="762"/>
      <c r="O202" s="762"/>
      <c r="P202" s="762"/>
      <c r="Q202" s="762"/>
      <c r="R202" s="763"/>
      <c r="S202" s="764"/>
      <c r="T202" s="765"/>
      <c r="U202" s="766"/>
      <c r="V202" s="764"/>
      <c r="W202" s="765"/>
      <c r="X202" s="766"/>
      <c r="Y202" s="767"/>
      <c r="Z202" s="768"/>
      <c r="AA202" s="768"/>
      <c r="AB202" s="768"/>
      <c r="AC202" s="768"/>
      <c r="AD202" s="769"/>
      <c r="AE202" s="740"/>
      <c r="AF202" s="741"/>
      <c r="AG202" s="757"/>
      <c r="AH202" s="740"/>
      <c r="AI202" s="741"/>
      <c r="AJ202" s="757"/>
      <c r="AK202" s="737"/>
      <c r="AL202" s="738"/>
      <c r="AM202" s="738"/>
      <c r="AN202" s="739"/>
      <c r="AO202" s="740">
        <f t="shared" si="2"/>
        <v>0</v>
      </c>
      <c r="AP202" s="741"/>
      <c r="AQ202" s="741"/>
      <c r="AR202" s="742"/>
    </row>
    <row r="203" spans="1:44" ht="18" customHeight="1">
      <c r="C203" s="743"/>
      <c r="D203" s="744"/>
      <c r="E203" s="744"/>
      <c r="F203" s="744"/>
      <c r="G203" s="744"/>
      <c r="H203" s="744"/>
      <c r="I203" s="744"/>
      <c r="J203" s="744"/>
      <c r="K203" s="744"/>
      <c r="L203" s="744"/>
      <c r="M203" s="744"/>
      <c r="N203" s="744"/>
      <c r="O203" s="744"/>
      <c r="P203" s="744"/>
      <c r="Q203" s="744"/>
      <c r="R203" s="744"/>
      <c r="S203" s="744"/>
      <c r="T203" s="744"/>
      <c r="U203" s="744"/>
      <c r="V203" s="744"/>
      <c r="W203" s="744"/>
      <c r="X203" s="744"/>
      <c r="Y203" s="745" t="s">
        <v>95</v>
      </c>
      <c r="Z203" s="745"/>
      <c r="AA203" s="745"/>
      <c r="AB203" s="745"/>
      <c r="AC203" s="745"/>
      <c r="AD203" s="745"/>
      <c r="AE203" s="745"/>
      <c r="AF203" s="745"/>
      <c r="AG203" s="745"/>
      <c r="AH203" s="745"/>
      <c r="AI203" s="745"/>
      <c r="AJ203" s="745"/>
      <c r="AK203" s="745"/>
      <c r="AL203" s="745"/>
      <c r="AM203" s="745"/>
      <c r="AN203" s="430"/>
      <c r="AO203" s="477">
        <f>SUM(AO195:AR202)</f>
        <v>0</v>
      </c>
      <c r="AP203" s="746"/>
      <c r="AQ203" s="746"/>
      <c r="AR203" s="747"/>
    </row>
    <row r="205" spans="1:44" ht="18" customHeight="1">
      <c r="C205" s="434"/>
      <c r="D205" s="434"/>
      <c r="E205" s="434"/>
      <c r="F205" s="434"/>
      <c r="G205" s="434"/>
      <c r="H205" s="434"/>
      <c r="I205" s="434"/>
      <c r="J205" s="434"/>
      <c r="K205" s="434"/>
      <c r="L205" s="434"/>
      <c r="M205" s="434"/>
      <c r="N205" s="434"/>
      <c r="O205" s="434"/>
      <c r="P205" s="434"/>
      <c r="Q205" s="434"/>
      <c r="R205" s="434"/>
      <c r="S205" s="434"/>
      <c r="T205" s="434"/>
      <c r="U205" s="434"/>
      <c r="V205" s="434"/>
      <c r="W205" s="434"/>
      <c r="X205" s="748"/>
      <c r="Y205" s="749" t="s">
        <v>96</v>
      </c>
      <c r="Z205" s="750"/>
      <c r="AA205" s="750"/>
      <c r="AB205" s="750"/>
      <c r="AC205" s="750"/>
      <c r="AD205" s="750"/>
      <c r="AE205" s="750"/>
      <c r="AF205" s="750"/>
      <c r="AG205" s="750"/>
      <c r="AH205" s="750"/>
      <c r="AI205" s="750"/>
      <c r="AJ205" s="750"/>
      <c r="AK205" s="750"/>
      <c r="AL205" s="750"/>
      <c r="AM205" s="750"/>
      <c r="AN205" s="751"/>
      <c r="AO205" s="752">
        <f>AO179+AO191+AO203</f>
        <v>10.92</v>
      </c>
      <c r="AP205" s="753"/>
      <c r="AQ205" s="753"/>
      <c r="AR205" s="754"/>
    </row>
    <row r="206" spans="1:44" ht="18" customHeight="1">
      <c r="C206" s="434"/>
      <c r="D206" s="434"/>
      <c r="E206" s="434"/>
      <c r="F206" s="434"/>
      <c r="G206" s="434"/>
      <c r="H206" s="434"/>
      <c r="I206" s="434"/>
      <c r="J206" s="434"/>
      <c r="K206" s="434"/>
      <c r="L206" s="434"/>
      <c r="M206" s="434"/>
      <c r="N206" s="434"/>
      <c r="O206" s="434"/>
      <c r="P206" s="434"/>
      <c r="Q206" s="434"/>
      <c r="R206" s="434"/>
      <c r="S206" s="434"/>
      <c r="T206" s="434"/>
      <c r="U206" s="434"/>
      <c r="V206" s="434"/>
      <c r="W206" s="434"/>
      <c r="X206" s="748"/>
      <c r="Y206" s="755" t="s">
        <v>97</v>
      </c>
      <c r="Z206" s="756"/>
      <c r="AA206" s="756"/>
      <c r="AB206" s="756"/>
      <c r="AC206" s="756"/>
      <c r="AD206" s="756"/>
      <c r="AE206" s="756"/>
      <c r="AF206" s="756"/>
      <c r="AG206" s="756"/>
      <c r="AH206" s="442">
        <v>0.2031</v>
      </c>
      <c r="AI206" s="442"/>
      <c r="AJ206" s="442"/>
      <c r="AK206" s="442"/>
      <c r="AL206" s="442"/>
      <c r="AM206" s="442"/>
      <c r="AN206" s="443"/>
      <c r="AO206" s="728">
        <f>ROUND(AO205*AH206,2)</f>
        <v>2.2200000000000002</v>
      </c>
      <c r="AP206" s="729"/>
      <c r="AQ206" s="729"/>
      <c r="AR206" s="730"/>
    </row>
    <row r="207" spans="1:44" ht="18" customHeight="1">
      <c r="A207" s="415" t="s">
        <v>654</v>
      </c>
      <c r="B207" s="415"/>
      <c r="C207" s="434"/>
      <c r="D207" s="434"/>
      <c r="E207" s="434"/>
      <c r="F207" s="434"/>
      <c r="G207" s="434"/>
      <c r="H207" s="434"/>
      <c r="I207" s="434"/>
      <c r="J207" s="434"/>
      <c r="K207" s="434"/>
      <c r="L207" s="434"/>
      <c r="M207" s="434"/>
      <c r="N207" s="434"/>
      <c r="O207" s="434"/>
      <c r="P207" s="434"/>
      <c r="Q207" s="434"/>
      <c r="R207" s="434"/>
      <c r="S207" s="434"/>
      <c r="T207" s="434"/>
      <c r="U207" s="434"/>
      <c r="V207" s="434"/>
      <c r="W207" s="434"/>
      <c r="X207" s="748"/>
      <c r="Y207" s="731" t="s">
        <v>98</v>
      </c>
      <c r="Z207" s="732"/>
      <c r="AA207" s="732"/>
      <c r="AB207" s="732"/>
      <c r="AC207" s="732"/>
      <c r="AD207" s="732"/>
      <c r="AE207" s="732"/>
      <c r="AF207" s="732"/>
      <c r="AG207" s="732"/>
      <c r="AH207" s="732"/>
      <c r="AI207" s="732"/>
      <c r="AJ207" s="732"/>
      <c r="AK207" s="732"/>
      <c r="AL207" s="732"/>
      <c r="AM207" s="732"/>
      <c r="AN207" s="733"/>
      <c r="AO207" s="734">
        <f>SUM(AO205:AR206)</f>
        <v>13.14</v>
      </c>
      <c r="AP207" s="735"/>
      <c r="AQ207" s="735"/>
      <c r="AR207" s="736"/>
    </row>
    <row r="209" spans="3:44" ht="18" customHeight="1">
      <c r="C209" s="420" t="s">
        <v>99</v>
      </c>
      <c r="D209" s="421"/>
      <c r="E209" s="421"/>
      <c r="F209" s="421"/>
      <c r="G209" s="421"/>
      <c r="H209" s="421"/>
      <c r="I209" s="422"/>
      <c r="J209" s="422"/>
      <c r="K209" s="422"/>
      <c r="L209" s="422"/>
      <c r="M209" s="422"/>
      <c r="N209" s="422"/>
      <c r="O209" s="422"/>
      <c r="P209" s="422"/>
      <c r="Q209" s="422"/>
      <c r="R209" s="422"/>
      <c r="S209" s="422"/>
      <c r="T209" s="422"/>
      <c r="U209" s="422"/>
      <c r="V209" s="422"/>
      <c r="W209" s="422"/>
      <c r="X209" s="422"/>
      <c r="Y209" s="422"/>
      <c r="Z209" s="422"/>
      <c r="AA209" s="422"/>
      <c r="AB209" s="422"/>
      <c r="AC209" s="422"/>
      <c r="AD209" s="422"/>
      <c r="AE209" s="422"/>
      <c r="AF209" s="422"/>
      <c r="AG209" s="422"/>
      <c r="AH209" s="422"/>
      <c r="AI209" s="422"/>
      <c r="AJ209" s="422"/>
      <c r="AK209" s="422"/>
      <c r="AL209" s="422"/>
      <c r="AM209" s="422"/>
      <c r="AN209" s="422"/>
      <c r="AO209" s="422"/>
      <c r="AP209" s="422"/>
      <c r="AQ209" s="422"/>
      <c r="AR209" s="423"/>
    </row>
    <row r="210" spans="3:44" ht="18" customHeight="1">
      <c r="C210" s="411"/>
      <c r="D210" s="412"/>
      <c r="E210" s="412"/>
      <c r="F210" s="412"/>
      <c r="G210" s="412"/>
      <c r="H210" s="412"/>
      <c r="I210" s="409"/>
      <c r="J210" s="409"/>
      <c r="K210" s="409"/>
      <c r="L210" s="409"/>
      <c r="M210" s="409"/>
      <c r="N210" s="409"/>
      <c r="O210" s="409"/>
      <c r="P210" s="409"/>
      <c r="Q210" s="409"/>
      <c r="R210" s="409"/>
      <c r="S210" s="409"/>
      <c r="T210" s="409"/>
      <c r="U210" s="409"/>
      <c r="V210" s="409"/>
      <c r="W210" s="409"/>
      <c r="X210" s="409"/>
      <c r="Y210" s="409"/>
      <c r="Z210" s="409"/>
      <c r="AA210" s="409"/>
      <c r="AB210" s="409"/>
      <c r="AC210" s="409"/>
      <c r="AD210" s="409"/>
      <c r="AE210" s="409"/>
      <c r="AF210" s="409"/>
      <c r="AG210" s="409"/>
      <c r="AH210" s="409"/>
      <c r="AI210" s="409"/>
      <c r="AJ210" s="409"/>
      <c r="AK210" s="409"/>
      <c r="AL210" s="409"/>
      <c r="AM210" s="409"/>
      <c r="AN210" s="409"/>
      <c r="AO210" s="409"/>
      <c r="AP210" s="409"/>
      <c r="AQ210" s="409"/>
      <c r="AR210" s="410"/>
    </row>
    <row r="211" spans="3:44" ht="18" customHeight="1">
      <c r="C211" s="411"/>
      <c r="D211" s="412"/>
      <c r="E211" s="412"/>
      <c r="F211" s="412"/>
      <c r="G211" s="412"/>
      <c r="H211" s="412"/>
      <c r="I211" s="409"/>
      <c r="J211" s="409"/>
      <c r="K211" s="409"/>
      <c r="L211" s="409"/>
      <c r="M211" s="409"/>
      <c r="N211" s="409"/>
      <c r="O211" s="409"/>
      <c r="P211" s="409"/>
      <c r="Q211" s="409"/>
      <c r="R211" s="409"/>
      <c r="S211" s="409"/>
      <c r="T211" s="409"/>
      <c r="U211" s="409"/>
      <c r="V211" s="409"/>
      <c r="W211" s="409"/>
      <c r="X211" s="409"/>
      <c r="Y211" s="409"/>
      <c r="Z211" s="409"/>
      <c r="AA211" s="409"/>
      <c r="AB211" s="409"/>
      <c r="AC211" s="409"/>
      <c r="AD211" s="409"/>
      <c r="AE211" s="409"/>
      <c r="AF211" s="409"/>
      <c r="AG211" s="409"/>
      <c r="AH211" s="409"/>
      <c r="AI211" s="409"/>
      <c r="AJ211" s="409"/>
      <c r="AK211" s="409"/>
      <c r="AL211" s="409"/>
      <c r="AM211" s="409"/>
      <c r="AN211" s="409"/>
      <c r="AO211" s="409"/>
      <c r="AP211" s="409"/>
      <c r="AQ211" s="409"/>
      <c r="AR211" s="410"/>
    </row>
    <row r="212" spans="3:44" ht="18" customHeight="1">
      <c r="C212" s="411"/>
      <c r="D212" s="412"/>
      <c r="E212" s="412"/>
      <c r="F212" s="412"/>
      <c r="G212" s="412"/>
      <c r="H212" s="412"/>
      <c r="I212" s="409"/>
      <c r="J212" s="409"/>
      <c r="K212" s="409"/>
      <c r="L212" s="409"/>
      <c r="M212" s="409"/>
      <c r="N212" s="409"/>
      <c r="O212" s="409"/>
      <c r="P212" s="409"/>
      <c r="Q212" s="409"/>
      <c r="R212" s="409"/>
      <c r="S212" s="409"/>
      <c r="T212" s="409"/>
      <c r="U212" s="409"/>
      <c r="V212" s="409"/>
      <c r="W212" s="409"/>
      <c r="X212" s="409"/>
      <c r="Y212" s="409"/>
      <c r="Z212" s="409"/>
      <c r="AA212" s="409"/>
      <c r="AB212" s="409"/>
      <c r="AC212" s="409"/>
      <c r="AD212" s="409"/>
      <c r="AE212" s="409"/>
      <c r="AF212" s="409"/>
      <c r="AG212" s="409"/>
      <c r="AH212" s="409"/>
      <c r="AI212" s="409"/>
      <c r="AJ212" s="409"/>
      <c r="AK212" s="409"/>
      <c r="AL212" s="409"/>
      <c r="AM212" s="409"/>
      <c r="AN212" s="409"/>
      <c r="AO212" s="409"/>
      <c r="AP212" s="409"/>
      <c r="AQ212" s="409"/>
      <c r="AR212" s="410"/>
    </row>
    <row r="213" spans="3:44" ht="18" customHeight="1">
      <c r="C213" s="411"/>
      <c r="D213" s="412"/>
      <c r="E213" s="412"/>
      <c r="F213" s="412"/>
      <c r="G213" s="412"/>
      <c r="H213" s="412"/>
      <c r="I213" s="409"/>
      <c r="J213" s="409"/>
      <c r="K213" s="409"/>
      <c r="L213" s="409"/>
      <c r="M213" s="409"/>
      <c r="N213" s="409"/>
      <c r="O213" s="409"/>
      <c r="P213" s="409"/>
      <c r="Q213" s="409"/>
      <c r="R213" s="409"/>
      <c r="S213" s="409"/>
      <c r="T213" s="409"/>
      <c r="U213" s="409"/>
      <c r="V213" s="409"/>
      <c r="W213" s="409"/>
      <c r="X213" s="409"/>
      <c r="Y213" s="409"/>
      <c r="Z213" s="409"/>
      <c r="AA213" s="409"/>
      <c r="AB213" s="409"/>
      <c r="AC213" s="409"/>
      <c r="AD213" s="409"/>
      <c r="AE213" s="409"/>
      <c r="AF213" s="409"/>
      <c r="AG213" s="409"/>
      <c r="AH213" s="409"/>
      <c r="AI213" s="409"/>
      <c r="AJ213" s="409"/>
      <c r="AK213" s="409"/>
      <c r="AL213" s="409"/>
      <c r="AM213" s="409"/>
      <c r="AN213" s="409"/>
      <c r="AO213" s="409"/>
      <c r="AP213" s="409"/>
      <c r="AQ213" s="409"/>
      <c r="AR213" s="410"/>
    </row>
    <row r="214" spans="3:44" ht="18" customHeight="1">
      <c r="C214" s="385"/>
      <c r="D214" s="386"/>
      <c r="E214" s="386"/>
      <c r="F214" s="386"/>
      <c r="G214" s="386"/>
      <c r="H214" s="386"/>
      <c r="I214" s="387"/>
      <c r="J214" s="387"/>
      <c r="K214" s="387"/>
      <c r="L214" s="387"/>
      <c r="M214" s="387"/>
      <c r="N214" s="387"/>
      <c r="O214" s="387"/>
      <c r="P214" s="387"/>
      <c r="Q214" s="387"/>
      <c r="R214" s="387"/>
      <c r="S214" s="387"/>
      <c r="T214" s="387"/>
      <c r="U214" s="387"/>
      <c r="V214" s="387"/>
      <c r="W214" s="387"/>
      <c r="X214" s="387"/>
      <c r="Y214" s="387"/>
      <c r="Z214" s="387"/>
      <c r="AA214" s="387"/>
      <c r="AB214" s="387"/>
      <c r="AC214" s="387"/>
      <c r="AD214" s="387"/>
      <c r="AE214" s="387"/>
      <c r="AF214" s="387"/>
      <c r="AG214" s="387"/>
      <c r="AH214" s="387"/>
      <c r="AI214" s="387"/>
      <c r="AJ214" s="387"/>
      <c r="AK214" s="387"/>
      <c r="AL214" s="387"/>
      <c r="AM214" s="387"/>
      <c r="AN214" s="387"/>
      <c r="AO214" s="387"/>
      <c r="AP214" s="387"/>
      <c r="AQ214" s="387"/>
      <c r="AR214" s="388"/>
    </row>
    <row r="216" spans="3:44" ht="18" customHeight="1">
      <c r="C216" s="389" t="s">
        <v>100</v>
      </c>
      <c r="D216" s="390"/>
      <c r="E216" s="390"/>
      <c r="F216" s="390"/>
      <c r="G216" s="390"/>
      <c r="H216" s="390"/>
      <c r="I216" s="390"/>
      <c r="J216" s="390"/>
      <c r="K216" s="390"/>
      <c r="L216" s="390"/>
      <c r="M216" s="390"/>
      <c r="N216" s="390"/>
      <c r="O216" s="390"/>
      <c r="P216" s="390"/>
      <c r="Q216" s="390"/>
      <c r="R216" s="390"/>
      <c r="S216" s="390"/>
      <c r="T216" s="390"/>
      <c r="U216" s="390"/>
      <c r="V216" s="390"/>
      <c r="W216" s="390"/>
      <c r="X216" s="390"/>
      <c r="Y216" s="390"/>
      <c r="Z216" s="390"/>
      <c r="AA216" s="391"/>
      <c r="AB216" s="392" t="str">
        <f>[4]C.UNIT.SERV.!$E$5</f>
        <v>DATA-BASE:      MAIO/2011/PR</v>
      </c>
      <c r="AC216" s="393"/>
      <c r="AD216" s="393"/>
      <c r="AE216" s="393"/>
      <c r="AF216" s="393"/>
      <c r="AG216" s="393"/>
      <c r="AH216" s="393"/>
      <c r="AI216" s="394"/>
      <c r="AJ216" s="392"/>
      <c r="AK216" s="393"/>
      <c r="AL216" s="393"/>
      <c r="AM216" s="393"/>
      <c r="AN216" s="393"/>
      <c r="AO216" s="393"/>
      <c r="AP216" s="393"/>
      <c r="AQ216" s="393"/>
      <c r="AR216" s="401"/>
    </row>
    <row r="217" spans="3:44" ht="18" customHeight="1">
      <c r="C217" s="404" t="s">
        <v>101</v>
      </c>
      <c r="D217" s="405"/>
      <c r="E217" s="405"/>
      <c r="F217" s="405"/>
      <c r="G217" s="405" t="s">
        <v>283</v>
      </c>
      <c r="H217" s="405"/>
      <c r="I217" s="405"/>
      <c r="J217" s="405"/>
      <c r="K217" s="405"/>
      <c r="L217" s="405"/>
      <c r="M217" s="405"/>
      <c r="N217" s="405"/>
      <c r="O217" s="405"/>
      <c r="P217" s="405"/>
      <c r="Q217" s="405"/>
      <c r="R217" s="405"/>
      <c r="S217" s="405"/>
      <c r="T217" s="405"/>
      <c r="U217" s="405"/>
      <c r="V217" s="405"/>
      <c r="W217" s="405"/>
      <c r="X217" s="405"/>
      <c r="Y217" s="405"/>
      <c r="Z217" s="405"/>
      <c r="AA217" s="406"/>
      <c r="AB217" s="395"/>
      <c r="AC217" s="396"/>
      <c r="AD217" s="396"/>
      <c r="AE217" s="396"/>
      <c r="AF217" s="396"/>
      <c r="AG217" s="396"/>
      <c r="AH217" s="396"/>
      <c r="AI217" s="397"/>
      <c r="AJ217" s="395"/>
      <c r="AK217" s="396"/>
      <c r="AL217" s="396"/>
      <c r="AM217" s="396"/>
      <c r="AN217" s="396"/>
      <c r="AO217" s="396"/>
      <c r="AP217" s="396"/>
      <c r="AQ217" s="396"/>
      <c r="AR217" s="402"/>
    </row>
    <row r="218" spans="3:44" ht="18" customHeight="1">
      <c r="C218" s="404" t="s">
        <v>102</v>
      </c>
      <c r="D218" s="405"/>
      <c r="E218" s="405"/>
      <c r="F218" s="405"/>
      <c r="G218" s="405"/>
      <c r="H218" s="405"/>
      <c r="I218" s="405"/>
      <c r="J218" s="405"/>
      <c r="K218" s="405"/>
      <c r="L218" s="405"/>
      <c r="M218" s="405"/>
      <c r="N218" s="405"/>
      <c r="O218" s="405"/>
      <c r="P218" s="405"/>
      <c r="Q218" s="405"/>
      <c r="R218" s="405"/>
      <c r="S218" s="405"/>
      <c r="T218" s="405"/>
      <c r="U218" s="405"/>
      <c r="V218" s="405"/>
      <c r="W218" s="405"/>
      <c r="X218" s="405"/>
      <c r="Y218" s="405"/>
      <c r="Z218" s="405"/>
      <c r="AA218" s="406"/>
      <c r="AB218" s="395"/>
      <c r="AC218" s="396"/>
      <c r="AD218" s="396"/>
      <c r="AE218" s="396"/>
      <c r="AF218" s="396"/>
      <c r="AG218" s="396"/>
      <c r="AH218" s="396"/>
      <c r="AI218" s="397"/>
      <c r="AJ218" s="395"/>
      <c r="AK218" s="396"/>
      <c r="AL218" s="396"/>
      <c r="AM218" s="396"/>
      <c r="AN218" s="396"/>
      <c r="AO218" s="396"/>
      <c r="AP218" s="396"/>
      <c r="AQ218" s="396"/>
      <c r="AR218" s="402"/>
    </row>
    <row r="219" spans="3:44" ht="18" customHeight="1">
      <c r="C219" s="407"/>
      <c r="D219" s="408"/>
      <c r="E219" s="408"/>
      <c r="F219" s="408"/>
      <c r="G219" s="408"/>
      <c r="H219" s="408"/>
      <c r="I219" s="408"/>
      <c r="J219" s="408"/>
      <c r="K219" s="408"/>
      <c r="L219" s="408"/>
      <c r="M219" s="408"/>
      <c r="N219" s="408"/>
      <c r="O219" s="408"/>
      <c r="P219" s="408"/>
      <c r="Q219" s="408"/>
      <c r="R219" s="408"/>
      <c r="S219" s="408"/>
      <c r="T219" s="408"/>
      <c r="U219" s="408"/>
      <c r="V219" s="408"/>
      <c r="W219" s="408"/>
      <c r="X219" s="408"/>
      <c r="Y219" s="408"/>
      <c r="Z219" s="408"/>
      <c r="AA219" s="408"/>
      <c r="AB219" s="398"/>
      <c r="AC219" s="399"/>
      <c r="AD219" s="399"/>
      <c r="AE219" s="399"/>
      <c r="AF219" s="399"/>
      <c r="AG219" s="399"/>
      <c r="AH219" s="399"/>
      <c r="AI219" s="400"/>
      <c r="AJ219" s="398"/>
      <c r="AK219" s="399"/>
      <c r="AL219" s="399"/>
      <c r="AM219" s="399"/>
      <c r="AN219" s="399"/>
      <c r="AO219" s="399"/>
      <c r="AP219" s="399"/>
      <c r="AQ219" s="399"/>
      <c r="AR219" s="403"/>
    </row>
    <row r="221" spans="3:44" ht="18" customHeight="1">
      <c r="C221" s="850" t="s">
        <v>64</v>
      </c>
      <c r="D221" s="851"/>
      <c r="E221" s="851"/>
      <c r="F221" s="851"/>
      <c r="G221" s="851"/>
      <c r="H221" s="851"/>
      <c r="I221" s="851"/>
      <c r="J221" s="851"/>
      <c r="K221" s="851"/>
      <c r="L221" s="851"/>
      <c r="M221" s="851"/>
      <c r="N221" s="851"/>
      <c r="O221" s="851"/>
      <c r="P221" s="851"/>
      <c r="Q221" s="851"/>
      <c r="R221" s="851"/>
      <c r="S221" s="851"/>
      <c r="T221" s="851"/>
      <c r="U221" s="851"/>
      <c r="V221" s="851"/>
      <c r="W221" s="851"/>
      <c r="X221" s="851"/>
      <c r="Y221" s="851"/>
      <c r="Z221" s="851"/>
      <c r="AA221" s="851"/>
      <c r="AB221" s="851"/>
      <c r="AC221" s="851"/>
      <c r="AD221" s="851"/>
      <c r="AE221" s="851"/>
      <c r="AF221" s="851"/>
      <c r="AG221" s="851"/>
      <c r="AH221" s="851"/>
      <c r="AI221" s="851"/>
      <c r="AJ221" s="851"/>
      <c r="AK221" s="851"/>
      <c r="AL221" s="851"/>
      <c r="AM221" s="851"/>
      <c r="AN221" s="851"/>
      <c r="AO221" s="851"/>
      <c r="AP221" s="851"/>
      <c r="AQ221" s="851"/>
      <c r="AR221" s="852"/>
    </row>
    <row r="222" spans="3:44" ht="18" customHeight="1">
      <c r="C222" s="853"/>
      <c r="D222" s="854"/>
      <c r="E222" s="854"/>
      <c r="F222" s="854"/>
      <c r="G222" s="854"/>
      <c r="H222" s="854"/>
      <c r="I222" s="854"/>
      <c r="J222" s="854"/>
      <c r="K222" s="854"/>
      <c r="L222" s="854"/>
      <c r="M222" s="854"/>
      <c r="N222" s="854"/>
      <c r="O222" s="854"/>
      <c r="P222" s="854"/>
      <c r="Q222" s="854"/>
      <c r="R222" s="854"/>
      <c r="S222" s="854"/>
      <c r="T222" s="854"/>
      <c r="U222" s="854"/>
      <c r="V222" s="854"/>
      <c r="W222" s="854"/>
      <c r="X222" s="854"/>
      <c r="Y222" s="854"/>
      <c r="Z222" s="854"/>
      <c r="AA222" s="854"/>
      <c r="AB222" s="854"/>
      <c r="AC222" s="854"/>
      <c r="AD222" s="854"/>
      <c r="AE222" s="854"/>
      <c r="AF222" s="854"/>
      <c r="AG222" s="854"/>
      <c r="AH222" s="854"/>
      <c r="AI222" s="854"/>
      <c r="AJ222" s="854"/>
      <c r="AK222" s="854"/>
      <c r="AL222" s="854"/>
      <c r="AM222" s="854"/>
      <c r="AN222" s="854"/>
      <c r="AO222" s="854"/>
      <c r="AP222" s="854"/>
      <c r="AQ222" s="854"/>
      <c r="AR222" s="855"/>
    </row>
    <row r="223" spans="3:44" ht="18" customHeight="1">
      <c r="C223" s="856" t="s">
        <v>65</v>
      </c>
      <c r="D223" s="857"/>
      <c r="E223" s="857"/>
      <c r="F223" s="857"/>
      <c r="G223" s="860" t="s">
        <v>656</v>
      </c>
      <c r="H223" s="860"/>
      <c r="I223" s="860"/>
      <c r="J223" s="861"/>
      <c r="K223" s="864" t="s">
        <v>66</v>
      </c>
      <c r="L223" s="865"/>
      <c r="M223" s="865"/>
      <c r="N223" s="865"/>
      <c r="O223" s="522" t="s">
        <v>705</v>
      </c>
      <c r="P223" s="523"/>
      <c r="Q223" s="523"/>
      <c r="R223" s="523"/>
      <c r="S223" s="523"/>
      <c r="T223" s="523"/>
      <c r="U223" s="523"/>
      <c r="V223" s="523"/>
      <c r="W223" s="523"/>
      <c r="X223" s="523"/>
      <c r="Y223" s="523"/>
      <c r="Z223" s="523"/>
      <c r="AA223" s="523"/>
      <c r="AB223" s="523"/>
      <c r="AC223" s="523"/>
      <c r="AD223" s="523"/>
      <c r="AE223" s="523"/>
      <c r="AF223" s="523"/>
      <c r="AG223" s="523"/>
      <c r="AH223" s="523"/>
      <c r="AI223" s="523"/>
      <c r="AJ223" s="523"/>
      <c r="AK223" s="523"/>
      <c r="AL223" s="864" t="s">
        <v>67</v>
      </c>
      <c r="AM223" s="865"/>
      <c r="AN223" s="865"/>
      <c r="AO223" s="865"/>
      <c r="AP223" s="843" t="s">
        <v>246</v>
      </c>
      <c r="AQ223" s="843"/>
      <c r="AR223" s="844"/>
    </row>
    <row r="224" spans="3:44" ht="18" customHeight="1">
      <c r="C224" s="858"/>
      <c r="D224" s="859"/>
      <c r="E224" s="859"/>
      <c r="F224" s="859"/>
      <c r="G224" s="862"/>
      <c r="H224" s="862"/>
      <c r="I224" s="862"/>
      <c r="J224" s="863"/>
      <c r="K224" s="866"/>
      <c r="L224" s="867"/>
      <c r="M224" s="867"/>
      <c r="N224" s="867"/>
      <c r="O224" s="524"/>
      <c r="P224" s="525"/>
      <c r="Q224" s="525"/>
      <c r="R224" s="525"/>
      <c r="S224" s="525"/>
      <c r="T224" s="525"/>
      <c r="U224" s="525"/>
      <c r="V224" s="525"/>
      <c r="W224" s="525"/>
      <c r="X224" s="525"/>
      <c r="Y224" s="525"/>
      <c r="Z224" s="525"/>
      <c r="AA224" s="525"/>
      <c r="AB224" s="525"/>
      <c r="AC224" s="525"/>
      <c r="AD224" s="525"/>
      <c r="AE224" s="525"/>
      <c r="AF224" s="525"/>
      <c r="AG224" s="525"/>
      <c r="AH224" s="525"/>
      <c r="AI224" s="525"/>
      <c r="AJ224" s="525"/>
      <c r="AK224" s="525"/>
      <c r="AL224" s="866"/>
      <c r="AM224" s="867"/>
      <c r="AN224" s="867"/>
      <c r="AO224" s="867"/>
      <c r="AP224" s="845"/>
      <c r="AQ224" s="845"/>
      <c r="AR224" s="846"/>
    </row>
    <row r="226" spans="3:44" ht="18" customHeight="1">
      <c r="C226" s="794" t="s">
        <v>43</v>
      </c>
      <c r="D226" s="774"/>
      <c r="E226" s="775"/>
      <c r="F226" s="773" t="s">
        <v>68</v>
      </c>
      <c r="G226" s="774"/>
      <c r="H226" s="774"/>
      <c r="I226" s="774"/>
      <c r="J226" s="774"/>
      <c r="K226" s="774"/>
      <c r="L226" s="774"/>
      <c r="M226" s="774"/>
      <c r="N226" s="774"/>
      <c r="O226" s="774"/>
      <c r="P226" s="774"/>
      <c r="Q226" s="774"/>
      <c r="R226" s="774"/>
      <c r="S226" s="774"/>
      <c r="T226" s="774"/>
      <c r="U226" s="775"/>
      <c r="V226" s="773" t="s">
        <v>249</v>
      </c>
      <c r="W226" s="774"/>
      <c r="X226" s="775"/>
      <c r="Y226" s="847" t="s">
        <v>69</v>
      </c>
      <c r="Z226" s="848"/>
      <c r="AA226" s="848"/>
      <c r="AB226" s="848"/>
      <c r="AC226" s="848"/>
      <c r="AD226" s="848"/>
      <c r="AE226" s="848"/>
      <c r="AF226" s="849"/>
      <c r="AG226" s="847" t="s">
        <v>70</v>
      </c>
      <c r="AH226" s="848"/>
      <c r="AI226" s="848"/>
      <c r="AJ226" s="848"/>
      <c r="AK226" s="848"/>
      <c r="AL226" s="848"/>
      <c r="AM226" s="848"/>
      <c r="AN226" s="849"/>
      <c r="AO226" s="773" t="s">
        <v>71</v>
      </c>
      <c r="AP226" s="774"/>
      <c r="AQ226" s="774"/>
      <c r="AR226" s="779"/>
    </row>
    <row r="227" spans="3:44" ht="18" customHeight="1">
      <c r="C227" s="795"/>
      <c r="D227" s="777"/>
      <c r="E227" s="778"/>
      <c r="F227" s="776"/>
      <c r="G227" s="777"/>
      <c r="H227" s="777"/>
      <c r="I227" s="777"/>
      <c r="J227" s="777"/>
      <c r="K227" s="777"/>
      <c r="L227" s="777"/>
      <c r="M227" s="777"/>
      <c r="N227" s="777"/>
      <c r="O227" s="777"/>
      <c r="P227" s="777"/>
      <c r="Q227" s="777"/>
      <c r="R227" s="777"/>
      <c r="S227" s="777"/>
      <c r="T227" s="777"/>
      <c r="U227" s="778"/>
      <c r="V227" s="776"/>
      <c r="W227" s="777"/>
      <c r="X227" s="778"/>
      <c r="Y227" s="834" t="s">
        <v>72</v>
      </c>
      <c r="Z227" s="835"/>
      <c r="AA227" s="835"/>
      <c r="AB227" s="836"/>
      <c r="AC227" s="834" t="s">
        <v>73</v>
      </c>
      <c r="AD227" s="835"/>
      <c r="AE227" s="835"/>
      <c r="AF227" s="836"/>
      <c r="AG227" s="834" t="s">
        <v>72</v>
      </c>
      <c r="AH227" s="835"/>
      <c r="AI227" s="835"/>
      <c r="AJ227" s="836"/>
      <c r="AK227" s="834" t="s">
        <v>73</v>
      </c>
      <c r="AL227" s="835"/>
      <c r="AM227" s="835"/>
      <c r="AN227" s="836"/>
      <c r="AO227" s="776"/>
      <c r="AP227" s="777"/>
      <c r="AQ227" s="777"/>
      <c r="AR227" s="780"/>
    </row>
    <row r="228" spans="3:44" ht="18" customHeight="1">
      <c r="C228" s="781" t="s">
        <v>1379</v>
      </c>
      <c r="D228" s="782"/>
      <c r="E228" s="783"/>
      <c r="F228" s="493" t="s">
        <v>468</v>
      </c>
      <c r="G228" s="493"/>
      <c r="H228" s="493"/>
      <c r="I228" s="493"/>
      <c r="J228" s="493"/>
      <c r="K228" s="493"/>
      <c r="L228" s="493"/>
      <c r="M228" s="493"/>
      <c r="N228" s="493"/>
      <c r="O228" s="493"/>
      <c r="P228" s="493"/>
      <c r="Q228" s="493"/>
      <c r="R228" s="493"/>
      <c r="S228" s="493"/>
      <c r="T228" s="493"/>
      <c r="U228" s="493"/>
      <c r="V228" s="837">
        <v>1</v>
      </c>
      <c r="W228" s="838"/>
      <c r="X228" s="839"/>
      <c r="Y228" s="837">
        <v>1</v>
      </c>
      <c r="Z228" s="838"/>
      <c r="AA228" s="838"/>
      <c r="AB228" s="839"/>
      <c r="AC228" s="868">
        <f>1-Y228</f>
        <v>0</v>
      </c>
      <c r="AD228" s="869"/>
      <c r="AE228" s="869"/>
      <c r="AF228" s="870"/>
      <c r="AG228" s="491">
        <f>VLOOKUP(C228,[4]EQUIPAMENTOS!A$1:D$65536,3,FALSE)</f>
        <v>3.1082000000000001</v>
      </c>
      <c r="AH228" s="491"/>
      <c r="AI228" s="491"/>
      <c r="AJ228" s="491"/>
      <c r="AK228" s="491">
        <f>VLOOKUP(C228,[4]EQUIPAMENTOS!A$1:D$65536,4,FALSE)</f>
        <v>0</v>
      </c>
      <c r="AL228" s="491"/>
      <c r="AM228" s="491"/>
      <c r="AN228" s="491"/>
      <c r="AO228" s="491">
        <f>ROUND((Y228*AG228+AC228*AK228)*V228,2)</f>
        <v>3.11</v>
      </c>
      <c r="AP228" s="491"/>
      <c r="AQ228" s="491"/>
      <c r="AR228" s="492"/>
    </row>
    <row r="229" spans="3:44" ht="18" customHeight="1">
      <c r="C229" s="758"/>
      <c r="D229" s="759"/>
      <c r="E229" s="760"/>
      <c r="F229" s="493"/>
      <c r="G229" s="493"/>
      <c r="H229" s="493"/>
      <c r="I229" s="493"/>
      <c r="J229" s="493"/>
      <c r="K229" s="493"/>
      <c r="L229" s="493"/>
      <c r="M229" s="493"/>
      <c r="N229" s="493"/>
      <c r="O229" s="493"/>
      <c r="P229" s="493"/>
      <c r="Q229" s="493"/>
      <c r="R229" s="493"/>
      <c r="S229" s="493"/>
      <c r="T229" s="493"/>
      <c r="U229" s="493"/>
      <c r="V229" s="466"/>
      <c r="W229" s="467"/>
      <c r="X229" s="468"/>
      <c r="Y229" s="466"/>
      <c r="Z229" s="467"/>
      <c r="AA229" s="467"/>
      <c r="AB229" s="468"/>
      <c r="AC229" s="828"/>
      <c r="AD229" s="829"/>
      <c r="AE229" s="829"/>
      <c r="AF229" s="830"/>
      <c r="AG229" s="491"/>
      <c r="AH229" s="491"/>
      <c r="AI229" s="491"/>
      <c r="AJ229" s="491"/>
      <c r="AK229" s="491"/>
      <c r="AL229" s="491"/>
      <c r="AM229" s="491"/>
      <c r="AN229" s="491"/>
      <c r="AO229" s="491"/>
      <c r="AP229" s="491"/>
      <c r="AQ229" s="491"/>
      <c r="AR229" s="492"/>
    </row>
    <row r="230" spans="3:44" ht="18" customHeight="1">
      <c r="C230" s="758"/>
      <c r="D230" s="759"/>
      <c r="E230" s="760"/>
      <c r="F230" s="493"/>
      <c r="G230" s="493"/>
      <c r="H230" s="493"/>
      <c r="I230" s="493"/>
      <c r="J230" s="493"/>
      <c r="K230" s="493"/>
      <c r="L230" s="493"/>
      <c r="M230" s="493"/>
      <c r="N230" s="493"/>
      <c r="O230" s="493"/>
      <c r="P230" s="493"/>
      <c r="Q230" s="493"/>
      <c r="R230" s="493"/>
      <c r="S230" s="493"/>
      <c r="T230" s="493"/>
      <c r="U230" s="493"/>
      <c r="V230" s="466"/>
      <c r="W230" s="467"/>
      <c r="X230" s="468"/>
      <c r="Y230" s="466"/>
      <c r="Z230" s="467"/>
      <c r="AA230" s="467"/>
      <c r="AB230" s="468"/>
      <c r="AC230" s="828"/>
      <c r="AD230" s="829"/>
      <c r="AE230" s="829"/>
      <c r="AF230" s="830"/>
      <c r="AG230" s="491"/>
      <c r="AH230" s="491"/>
      <c r="AI230" s="491"/>
      <c r="AJ230" s="491"/>
      <c r="AK230" s="491"/>
      <c r="AL230" s="491"/>
      <c r="AM230" s="491"/>
      <c r="AN230" s="491"/>
      <c r="AO230" s="491"/>
      <c r="AP230" s="491"/>
      <c r="AQ230" s="491"/>
      <c r="AR230" s="492"/>
    </row>
    <row r="231" spans="3:44" ht="18" customHeight="1">
      <c r="C231" s="758"/>
      <c r="D231" s="759"/>
      <c r="E231" s="760"/>
      <c r="F231" s="493"/>
      <c r="G231" s="493"/>
      <c r="H231" s="493"/>
      <c r="I231" s="493"/>
      <c r="J231" s="493"/>
      <c r="K231" s="493"/>
      <c r="L231" s="493"/>
      <c r="M231" s="493"/>
      <c r="N231" s="493"/>
      <c r="O231" s="493"/>
      <c r="P231" s="493"/>
      <c r="Q231" s="493"/>
      <c r="R231" s="493"/>
      <c r="S231" s="493"/>
      <c r="T231" s="493"/>
      <c r="U231" s="493"/>
      <c r="V231" s="466"/>
      <c r="W231" s="467"/>
      <c r="X231" s="468"/>
      <c r="Y231" s="466"/>
      <c r="Z231" s="467"/>
      <c r="AA231" s="467"/>
      <c r="AB231" s="468"/>
      <c r="AC231" s="828"/>
      <c r="AD231" s="829"/>
      <c r="AE231" s="829"/>
      <c r="AF231" s="830"/>
      <c r="AG231" s="491"/>
      <c r="AH231" s="491"/>
      <c r="AI231" s="491"/>
      <c r="AJ231" s="491"/>
      <c r="AK231" s="491"/>
      <c r="AL231" s="491"/>
      <c r="AM231" s="491"/>
      <c r="AN231" s="491"/>
      <c r="AO231" s="491"/>
      <c r="AP231" s="491"/>
      <c r="AQ231" s="491"/>
      <c r="AR231" s="492"/>
    </row>
    <row r="232" spans="3:44" ht="18" customHeight="1">
      <c r="C232" s="758"/>
      <c r="D232" s="759"/>
      <c r="E232" s="760"/>
      <c r="F232" s="493"/>
      <c r="G232" s="493"/>
      <c r="H232" s="493"/>
      <c r="I232" s="493"/>
      <c r="J232" s="493"/>
      <c r="K232" s="493"/>
      <c r="L232" s="493"/>
      <c r="M232" s="493"/>
      <c r="N232" s="493"/>
      <c r="O232" s="493"/>
      <c r="P232" s="493"/>
      <c r="Q232" s="493"/>
      <c r="R232" s="493"/>
      <c r="S232" s="493"/>
      <c r="T232" s="493"/>
      <c r="U232" s="493"/>
      <c r="V232" s="466"/>
      <c r="W232" s="467"/>
      <c r="X232" s="468"/>
      <c r="Y232" s="466"/>
      <c r="Z232" s="467"/>
      <c r="AA232" s="467"/>
      <c r="AB232" s="468"/>
      <c r="AC232" s="828"/>
      <c r="AD232" s="829"/>
      <c r="AE232" s="829"/>
      <c r="AF232" s="830"/>
      <c r="AG232" s="491"/>
      <c r="AH232" s="491"/>
      <c r="AI232" s="491"/>
      <c r="AJ232" s="491"/>
      <c r="AK232" s="491"/>
      <c r="AL232" s="491"/>
      <c r="AM232" s="491"/>
      <c r="AN232" s="491"/>
      <c r="AO232" s="491"/>
      <c r="AP232" s="491"/>
      <c r="AQ232" s="491"/>
      <c r="AR232" s="492"/>
    </row>
    <row r="233" spans="3:44" ht="18" customHeight="1">
      <c r="C233" s="758"/>
      <c r="D233" s="759"/>
      <c r="E233" s="760"/>
      <c r="F233" s="493"/>
      <c r="G233" s="493"/>
      <c r="H233" s="493"/>
      <c r="I233" s="493"/>
      <c r="J233" s="493"/>
      <c r="K233" s="493"/>
      <c r="L233" s="493"/>
      <c r="M233" s="493"/>
      <c r="N233" s="493"/>
      <c r="O233" s="493"/>
      <c r="P233" s="493"/>
      <c r="Q233" s="493"/>
      <c r="R233" s="493"/>
      <c r="S233" s="493"/>
      <c r="T233" s="493"/>
      <c r="U233" s="493"/>
      <c r="V233" s="466"/>
      <c r="W233" s="467"/>
      <c r="X233" s="468"/>
      <c r="Y233" s="466"/>
      <c r="Z233" s="467"/>
      <c r="AA233" s="467"/>
      <c r="AB233" s="468"/>
      <c r="AC233" s="828"/>
      <c r="AD233" s="829"/>
      <c r="AE233" s="829"/>
      <c r="AF233" s="830"/>
      <c r="AG233" s="491"/>
      <c r="AH233" s="491"/>
      <c r="AI233" s="491"/>
      <c r="AJ233" s="491"/>
      <c r="AK233" s="491"/>
      <c r="AL233" s="491"/>
      <c r="AM233" s="491"/>
      <c r="AN233" s="491"/>
      <c r="AO233" s="491"/>
      <c r="AP233" s="491"/>
      <c r="AQ233" s="491"/>
      <c r="AR233" s="492"/>
    </row>
    <row r="234" spans="3:44" ht="18" customHeight="1">
      <c r="C234" s="758"/>
      <c r="D234" s="759"/>
      <c r="E234" s="760"/>
      <c r="F234" s="796"/>
      <c r="G234" s="797"/>
      <c r="H234" s="797"/>
      <c r="I234" s="797"/>
      <c r="J234" s="797"/>
      <c r="K234" s="797"/>
      <c r="L234" s="797"/>
      <c r="M234" s="797"/>
      <c r="N234" s="797"/>
      <c r="O234" s="797"/>
      <c r="P234" s="797"/>
      <c r="Q234" s="797"/>
      <c r="R234" s="797"/>
      <c r="S234" s="797"/>
      <c r="T234" s="797"/>
      <c r="U234" s="798"/>
      <c r="V234" s="466"/>
      <c r="W234" s="467"/>
      <c r="X234" s="468"/>
      <c r="Y234" s="466"/>
      <c r="Z234" s="467"/>
      <c r="AA234" s="467"/>
      <c r="AB234" s="468"/>
      <c r="AC234" s="828"/>
      <c r="AD234" s="829"/>
      <c r="AE234" s="829"/>
      <c r="AF234" s="830"/>
      <c r="AG234" s="466"/>
      <c r="AH234" s="467"/>
      <c r="AI234" s="467"/>
      <c r="AJ234" s="468"/>
      <c r="AK234" s="466"/>
      <c r="AL234" s="467"/>
      <c r="AM234" s="467"/>
      <c r="AN234" s="468"/>
      <c r="AO234" s="466"/>
      <c r="AP234" s="467"/>
      <c r="AQ234" s="467"/>
      <c r="AR234" s="823"/>
    </row>
    <row r="235" spans="3:44" ht="18" customHeight="1">
      <c r="C235" s="758"/>
      <c r="D235" s="759"/>
      <c r="E235" s="760"/>
      <c r="F235" s="796"/>
      <c r="G235" s="797"/>
      <c r="H235" s="797"/>
      <c r="I235" s="797"/>
      <c r="J235" s="797"/>
      <c r="K235" s="797"/>
      <c r="L235" s="797"/>
      <c r="M235" s="797"/>
      <c r="N235" s="797"/>
      <c r="O235" s="797"/>
      <c r="P235" s="797"/>
      <c r="Q235" s="797"/>
      <c r="R235" s="797"/>
      <c r="S235" s="797"/>
      <c r="T235" s="797"/>
      <c r="U235" s="798"/>
      <c r="V235" s="466"/>
      <c r="W235" s="467"/>
      <c r="X235" s="468"/>
      <c r="Y235" s="466"/>
      <c r="Z235" s="467"/>
      <c r="AA235" s="467"/>
      <c r="AB235" s="468"/>
      <c r="AC235" s="828"/>
      <c r="AD235" s="829"/>
      <c r="AE235" s="829"/>
      <c r="AF235" s="830"/>
      <c r="AG235" s="466"/>
      <c r="AH235" s="467"/>
      <c r="AI235" s="467"/>
      <c r="AJ235" s="468"/>
      <c r="AK235" s="466"/>
      <c r="AL235" s="467"/>
      <c r="AM235" s="467"/>
      <c r="AN235" s="468"/>
      <c r="AO235" s="466"/>
      <c r="AP235" s="467"/>
      <c r="AQ235" s="467"/>
      <c r="AR235" s="823"/>
    </row>
    <row r="236" spans="3:44" ht="18" customHeight="1">
      <c r="C236" s="743"/>
      <c r="D236" s="744"/>
      <c r="E236" s="744"/>
      <c r="F236" s="744"/>
      <c r="G236" s="744"/>
      <c r="H236" s="744"/>
      <c r="I236" s="744"/>
      <c r="J236" s="744"/>
      <c r="K236" s="744"/>
      <c r="L236" s="744"/>
      <c r="M236" s="744"/>
      <c r="N236" s="744"/>
      <c r="O236" s="744"/>
      <c r="P236" s="744"/>
      <c r="Q236" s="744"/>
      <c r="R236" s="744"/>
      <c r="S236" s="744"/>
      <c r="T236" s="744"/>
      <c r="U236" s="744"/>
      <c r="V236" s="744"/>
      <c r="W236" s="744"/>
      <c r="X236" s="824"/>
      <c r="Y236" s="825" t="s">
        <v>74</v>
      </c>
      <c r="Z236" s="826"/>
      <c r="AA236" s="826"/>
      <c r="AB236" s="826"/>
      <c r="AC236" s="826"/>
      <c r="AD236" s="826"/>
      <c r="AE236" s="826"/>
      <c r="AF236" s="826"/>
      <c r="AG236" s="826"/>
      <c r="AH236" s="826"/>
      <c r="AI236" s="826"/>
      <c r="AJ236" s="826"/>
      <c r="AK236" s="826"/>
      <c r="AL236" s="826"/>
      <c r="AM236" s="826"/>
      <c r="AN236" s="827"/>
      <c r="AO236" s="477">
        <f>SUM(AO228:AR235)</f>
        <v>3.11</v>
      </c>
      <c r="AP236" s="746"/>
      <c r="AQ236" s="746"/>
      <c r="AR236" s="747"/>
    </row>
    <row r="238" spans="3:44" ht="18" customHeight="1">
      <c r="C238" s="794" t="s">
        <v>43</v>
      </c>
      <c r="D238" s="774"/>
      <c r="E238" s="775"/>
      <c r="F238" s="773" t="s">
        <v>75</v>
      </c>
      <c r="G238" s="774"/>
      <c r="H238" s="774"/>
      <c r="I238" s="774"/>
      <c r="J238" s="774"/>
      <c r="K238" s="774"/>
      <c r="L238" s="774"/>
      <c r="M238" s="774"/>
      <c r="N238" s="774"/>
      <c r="O238" s="774"/>
      <c r="P238" s="774"/>
      <c r="Q238" s="774"/>
      <c r="R238" s="774"/>
      <c r="S238" s="774"/>
      <c r="T238" s="774"/>
      <c r="U238" s="774"/>
      <c r="V238" s="774"/>
      <c r="W238" s="774"/>
      <c r="X238" s="774"/>
      <c r="Y238" s="774"/>
      <c r="Z238" s="774"/>
      <c r="AA238" s="774"/>
      <c r="AB238" s="775"/>
      <c r="AC238" s="773" t="s">
        <v>76</v>
      </c>
      <c r="AD238" s="774"/>
      <c r="AE238" s="774"/>
      <c r="AF238" s="775"/>
      <c r="AG238" s="773" t="s">
        <v>249</v>
      </c>
      <c r="AH238" s="774"/>
      <c r="AI238" s="774"/>
      <c r="AJ238" s="775"/>
      <c r="AK238" s="773" t="s">
        <v>77</v>
      </c>
      <c r="AL238" s="774"/>
      <c r="AM238" s="774"/>
      <c r="AN238" s="775"/>
      <c r="AO238" s="773" t="s">
        <v>71</v>
      </c>
      <c r="AP238" s="774"/>
      <c r="AQ238" s="774"/>
      <c r="AR238" s="779"/>
    </row>
    <row r="239" spans="3:44" ht="18" customHeight="1">
      <c r="C239" s="795"/>
      <c r="D239" s="777"/>
      <c r="E239" s="778"/>
      <c r="F239" s="776"/>
      <c r="G239" s="777"/>
      <c r="H239" s="777"/>
      <c r="I239" s="777"/>
      <c r="J239" s="777"/>
      <c r="K239" s="777"/>
      <c r="L239" s="777"/>
      <c r="M239" s="777"/>
      <c r="N239" s="777"/>
      <c r="O239" s="777"/>
      <c r="P239" s="777"/>
      <c r="Q239" s="777"/>
      <c r="R239" s="777"/>
      <c r="S239" s="777"/>
      <c r="T239" s="777"/>
      <c r="U239" s="777"/>
      <c r="V239" s="777"/>
      <c r="W239" s="777"/>
      <c r="X239" s="777"/>
      <c r="Y239" s="777"/>
      <c r="Z239" s="777"/>
      <c r="AA239" s="777"/>
      <c r="AB239" s="778"/>
      <c r="AC239" s="776"/>
      <c r="AD239" s="777"/>
      <c r="AE239" s="777"/>
      <c r="AF239" s="778"/>
      <c r="AG239" s="776"/>
      <c r="AH239" s="777"/>
      <c r="AI239" s="777"/>
      <c r="AJ239" s="778"/>
      <c r="AK239" s="776"/>
      <c r="AL239" s="777"/>
      <c r="AM239" s="777"/>
      <c r="AN239" s="778"/>
      <c r="AO239" s="776"/>
      <c r="AP239" s="777"/>
      <c r="AQ239" s="777"/>
      <c r="AR239" s="780"/>
    </row>
    <row r="240" spans="3:44" ht="18" customHeight="1">
      <c r="C240" s="781" t="s">
        <v>940</v>
      </c>
      <c r="D240" s="782"/>
      <c r="E240" s="783"/>
      <c r="F240" s="493" t="s">
        <v>105</v>
      </c>
      <c r="G240" s="493"/>
      <c r="H240" s="493"/>
      <c r="I240" s="493"/>
      <c r="J240" s="493"/>
      <c r="K240" s="493"/>
      <c r="L240" s="493"/>
      <c r="M240" s="493"/>
      <c r="N240" s="493"/>
      <c r="O240" s="493"/>
      <c r="P240" s="493"/>
      <c r="Q240" s="493"/>
      <c r="R240" s="493"/>
      <c r="S240" s="493"/>
      <c r="T240" s="493"/>
      <c r="U240" s="493"/>
      <c r="V240" s="493"/>
      <c r="W240" s="493"/>
      <c r="X240" s="493"/>
      <c r="Y240" s="493"/>
      <c r="Z240" s="493"/>
      <c r="AA240" s="493"/>
      <c r="AB240" s="493"/>
      <c r="AC240" s="770"/>
      <c r="AD240" s="771"/>
      <c r="AE240" s="771"/>
      <c r="AF240" s="790"/>
      <c r="AG240" s="770">
        <v>1</v>
      </c>
      <c r="AH240" s="771"/>
      <c r="AI240" s="771"/>
      <c r="AJ240" s="790"/>
      <c r="AK240" s="449">
        <f>VLOOKUP(C240,[4]MÃODEOBRA!A$1:D$65536,4,FALSE)</f>
        <v>22.98488</v>
      </c>
      <c r="AL240" s="449"/>
      <c r="AM240" s="449"/>
      <c r="AN240" s="449"/>
      <c r="AO240" s="491">
        <f>ROUND(AG240*AK240,2)</f>
        <v>22.98</v>
      </c>
      <c r="AP240" s="491"/>
      <c r="AQ240" s="491"/>
      <c r="AR240" s="492"/>
    </row>
    <row r="241" spans="3:44" ht="18" customHeight="1">
      <c r="C241" s="758" t="s">
        <v>1380</v>
      </c>
      <c r="D241" s="759"/>
      <c r="E241" s="760"/>
      <c r="F241" s="493" t="s">
        <v>469</v>
      </c>
      <c r="G241" s="493"/>
      <c r="H241" s="493"/>
      <c r="I241" s="493"/>
      <c r="J241" s="493"/>
      <c r="K241" s="493"/>
      <c r="L241" s="493"/>
      <c r="M241" s="493"/>
      <c r="N241" s="493"/>
      <c r="O241" s="493"/>
      <c r="P241" s="493"/>
      <c r="Q241" s="493"/>
      <c r="R241" s="493"/>
      <c r="S241" s="493"/>
      <c r="T241" s="493"/>
      <c r="U241" s="493"/>
      <c r="V241" s="493"/>
      <c r="W241" s="493"/>
      <c r="X241" s="493"/>
      <c r="Y241" s="493"/>
      <c r="Z241" s="493"/>
      <c r="AA241" s="493"/>
      <c r="AB241" s="493"/>
      <c r="AC241" s="740"/>
      <c r="AD241" s="741"/>
      <c r="AE241" s="741"/>
      <c r="AF241" s="757"/>
      <c r="AG241" s="740">
        <v>1</v>
      </c>
      <c r="AH241" s="741"/>
      <c r="AI241" s="741"/>
      <c r="AJ241" s="757"/>
      <c r="AK241" s="449">
        <f>VLOOKUP(C241,[4]MÃODEOBRA!A$1:D$65536,4,FALSE)</f>
        <v>11.156079999999999</v>
      </c>
      <c r="AL241" s="449"/>
      <c r="AM241" s="449"/>
      <c r="AN241" s="449"/>
      <c r="AO241" s="491">
        <f>ROUND(AG241*AK241,2)</f>
        <v>11.16</v>
      </c>
      <c r="AP241" s="491"/>
      <c r="AQ241" s="491"/>
      <c r="AR241" s="492"/>
    </row>
    <row r="242" spans="3:44" ht="18" customHeight="1">
      <c r="C242" s="758" t="s">
        <v>943</v>
      </c>
      <c r="D242" s="759"/>
      <c r="E242" s="760"/>
      <c r="F242" s="796" t="s">
        <v>128</v>
      </c>
      <c r="G242" s="797"/>
      <c r="H242" s="797"/>
      <c r="I242" s="797"/>
      <c r="J242" s="797"/>
      <c r="K242" s="797"/>
      <c r="L242" s="797"/>
      <c r="M242" s="797"/>
      <c r="N242" s="797"/>
      <c r="O242" s="797"/>
      <c r="P242" s="797"/>
      <c r="Q242" s="797"/>
      <c r="R242" s="797"/>
      <c r="S242" s="797"/>
      <c r="T242" s="797"/>
      <c r="U242" s="797"/>
      <c r="V242" s="797"/>
      <c r="W242" s="797"/>
      <c r="X242" s="797"/>
      <c r="Y242" s="797"/>
      <c r="Z242" s="797"/>
      <c r="AA242" s="797"/>
      <c r="AB242" s="798"/>
      <c r="AC242" s="740"/>
      <c r="AD242" s="741"/>
      <c r="AE242" s="741"/>
      <c r="AF242" s="757"/>
      <c r="AG242" s="740">
        <v>2</v>
      </c>
      <c r="AH242" s="741"/>
      <c r="AI242" s="741"/>
      <c r="AJ242" s="757"/>
      <c r="AK242" s="449">
        <f>VLOOKUP(C242,[4]MÃODEOBRA!A$1:D$65536,4,FALSE)</f>
        <v>8.6333500000000001</v>
      </c>
      <c r="AL242" s="449"/>
      <c r="AM242" s="449"/>
      <c r="AN242" s="449"/>
      <c r="AO242" s="491">
        <f>ROUND(AG242*AK242,2)</f>
        <v>17.27</v>
      </c>
      <c r="AP242" s="491"/>
      <c r="AQ242" s="491"/>
      <c r="AR242" s="492"/>
    </row>
    <row r="243" spans="3:44" ht="18" customHeight="1">
      <c r="C243" s="758"/>
      <c r="D243" s="759"/>
      <c r="E243" s="760"/>
      <c r="F243" s="796"/>
      <c r="G243" s="797"/>
      <c r="H243" s="797"/>
      <c r="I243" s="797"/>
      <c r="J243" s="797"/>
      <c r="K243" s="797"/>
      <c r="L243" s="797"/>
      <c r="M243" s="797"/>
      <c r="N243" s="797"/>
      <c r="O243" s="797"/>
      <c r="P243" s="797"/>
      <c r="Q243" s="797"/>
      <c r="R243" s="797"/>
      <c r="S243" s="797"/>
      <c r="T243" s="797"/>
      <c r="U243" s="797"/>
      <c r="V243" s="797"/>
      <c r="W243" s="797"/>
      <c r="X243" s="797"/>
      <c r="Y243" s="797"/>
      <c r="Z243" s="797"/>
      <c r="AA243" s="797"/>
      <c r="AB243" s="798"/>
      <c r="AC243" s="740"/>
      <c r="AD243" s="741"/>
      <c r="AE243" s="741"/>
      <c r="AF243" s="757"/>
      <c r="AG243" s="740"/>
      <c r="AH243" s="741"/>
      <c r="AI243" s="741"/>
      <c r="AJ243" s="757"/>
      <c r="AK243" s="740"/>
      <c r="AL243" s="741"/>
      <c r="AM243" s="741"/>
      <c r="AN243" s="757"/>
      <c r="AO243" s="466"/>
      <c r="AP243" s="467"/>
      <c r="AQ243" s="467"/>
      <c r="AR243" s="823"/>
    </row>
    <row r="244" spans="3:44" ht="18" customHeight="1">
      <c r="C244" s="758"/>
      <c r="D244" s="759"/>
      <c r="E244" s="760"/>
      <c r="F244" s="796"/>
      <c r="G244" s="797"/>
      <c r="H244" s="797"/>
      <c r="I244" s="797"/>
      <c r="J244" s="797"/>
      <c r="K244" s="797"/>
      <c r="L244" s="797"/>
      <c r="M244" s="797"/>
      <c r="N244" s="797"/>
      <c r="O244" s="797"/>
      <c r="P244" s="797"/>
      <c r="Q244" s="797"/>
      <c r="R244" s="797"/>
      <c r="S244" s="797"/>
      <c r="T244" s="797"/>
      <c r="U244" s="797"/>
      <c r="V244" s="797"/>
      <c r="W244" s="797"/>
      <c r="X244" s="797"/>
      <c r="Y244" s="797"/>
      <c r="Z244" s="797"/>
      <c r="AA244" s="797"/>
      <c r="AB244" s="798"/>
      <c r="AC244" s="740"/>
      <c r="AD244" s="741"/>
      <c r="AE244" s="741"/>
      <c r="AF244" s="757"/>
      <c r="AG244" s="740"/>
      <c r="AH244" s="741"/>
      <c r="AI244" s="741"/>
      <c r="AJ244" s="757"/>
      <c r="AK244" s="740"/>
      <c r="AL244" s="741"/>
      <c r="AM244" s="741"/>
      <c r="AN244" s="757"/>
      <c r="AO244" s="466"/>
      <c r="AP244" s="467"/>
      <c r="AQ244" s="467"/>
      <c r="AR244" s="823"/>
    </row>
    <row r="245" spans="3:44" ht="18" customHeight="1">
      <c r="C245" s="758"/>
      <c r="D245" s="759"/>
      <c r="E245" s="760"/>
      <c r="F245" s="796"/>
      <c r="G245" s="797"/>
      <c r="H245" s="797"/>
      <c r="I245" s="797"/>
      <c r="J245" s="797"/>
      <c r="K245" s="797"/>
      <c r="L245" s="797"/>
      <c r="M245" s="797"/>
      <c r="N245" s="797"/>
      <c r="O245" s="797"/>
      <c r="P245" s="797"/>
      <c r="Q245" s="797"/>
      <c r="R245" s="797"/>
      <c r="S245" s="797"/>
      <c r="T245" s="797"/>
      <c r="U245" s="797"/>
      <c r="V245" s="797"/>
      <c r="W245" s="797"/>
      <c r="X245" s="797"/>
      <c r="Y245" s="797"/>
      <c r="Z245" s="797"/>
      <c r="AA245" s="797"/>
      <c r="AB245" s="798"/>
      <c r="AC245" s="740"/>
      <c r="AD245" s="741"/>
      <c r="AE245" s="741"/>
      <c r="AF245" s="757"/>
      <c r="AG245" s="740"/>
      <c r="AH245" s="741"/>
      <c r="AI245" s="741"/>
      <c r="AJ245" s="757"/>
      <c r="AK245" s="740"/>
      <c r="AL245" s="741"/>
      <c r="AM245" s="741"/>
      <c r="AN245" s="757"/>
      <c r="AO245" s="466"/>
      <c r="AP245" s="467"/>
      <c r="AQ245" s="467"/>
      <c r="AR245" s="823"/>
    </row>
    <row r="246" spans="3:44" ht="18" customHeight="1">
      <c r="C246" s="758"/>
      <c r="D246" s="759"/>
      <c r="E246" s="760"/>
      <c r="F246" s="796"/>
      <c r="G246" s="797"/>
      <c r="H246" s="797"/>
      <c r="I246" s="797"/>
      <c r="J246" s="797"/>
      <c r="K246" s="797"/>
      <c r="L246" s="797"/>
      <c r="M246" s="797"/>
      <c r="N246" s="797"/>
      <c r="O246" s="797"/>
      <c r="P246" s="797"/>
      <c r="Q246" s="797"/>
      <c r="R246" s="797"/>
      <c r="S246" s="797"/>
      <c r="T246" s="797"/>
      <c r="U246" s="797"/>
      <c r="V246" s="797"/>
      <c r="W246" s="797"/>
      <c r="X246" s="797"/>
      <c r="Y246" s="797"/>
      <c r="Z246" s="797"/>
      <c r="AA246" s="797"/>
      <c r="AB246" s="798"/>
      <c r="AC246" s="740"/>
      <c r="AD246" s="741"/>
      <c r="AE246" s="741"/>
      <c r="AF246" s="757"/>
      <c r="AG246" s="740"/>
      <c r="AH246" s="741"/>
      <c r="AI246" s="741"/>
      <c r="AJ246" s="757"/>
      <c r="AK246" s="740"/>
      <c r="AL246" s="741"/>
      <c r="AM246" s="741"/>
      <c r="AN246" s="757"/>
      <c r="AO246" s="466"/>
      <c r="AP246" s="467"/>
      <c r="AQ246" s="467"/>
      <c r="AR246" s="823"/>
    </row>
    <row r="247" spans="3:44" ht="18" customHeight="1">
      <c r="C247" s="758"/>
      <c r="D247" s="759"/>
      <c r="E247" s="760"/>
      <c r="F247" s="796"/>
      <c r="G247" s="797"/>
      <c r="H247" s="797"/>
      <c r="I247" s="797"/>
      <c r="J247" s="797"/>
      <c r="K247" s="797"/>
      <c r="L247" s="797"/>
      <c r="M247" s="797"/>
      <c r="N247" s="797"/>
      <c r="O247" s="797"/>
      <c r="P247" s="797"/>
      <c r="Q247" s="797"/>
      <c r="R247" s="797"/>
      <c r="S247" s="797"/>
      <c r="T247" s="797"/>
      <c r="U247" s="797"/>
      <c r="V247" s="797"/>
      <c r="W247" s="797"/>
      <c r="X247" s="797"/>
      <c r="Y247" s="797"/>
      <c r="Z247" s="797"/>
      <c r="AA247" s="797"/>
      <c r="AB247" s="798"/>
      <c r="AC247" s="740"/>
      <c r="AD247" s="741"/>
      <c r="AE247" s="741"/>
      <c r="AF247" s="757"/>
      <c r="AG247" s="740"/>
      <c r="AH247" s="741"/>
      <c r="AI247" s="741"/>
      <c r="AJ247" s="757"/>
      <c r="AK247" s="740"/>
      <c r="AL247" s="741"/>
      <c r="AM247" s="741"/>
      <c r="AN247" s="757"/>
      <c r="AO247" s="466"/>
      <c r="AP247" s="467"/>
      <c r="AQ247" s="467"/>
      <c r="AR247" s="823"/>
    </row>
    <row r="248" spans="3:44" ht="18" customHeight="1">
      <c r="C248" s="814"/>
      <c r="D248" s="815"/>
      <c r="E248" s="815"/>
      <c r="F248" s="815"/>
      <c r="G248" s="815"/>
      <c r="H248" s="815"/>
      <c r="I248" s="815"/>
      <c r="J248" s="815"/>
      <c r="K248" s="815"/>
      <c r="L248" s="815"/>
      <c r="M248" s="815"/>
      <c r="N248" s="815"/>
      <c r="O248" s="815"/>
      <c r="P248" s="815"/>
      <c r="Q248" s="815"/>
      <c r="R248" s="815"/>
      <c r="S248" s="815"/>
      <c r="T248" s="815"/>
      <c r="U248" s="815"/>
      <c r="V248" s="815"/>
      <c r="W248" s="815"/>
      <c r="X248" s="815"/>
      <c r="Y248" s="816" t="s">
        <v>78</v>
      </c>
      <c r="Z248" s="816"/>
      <c r="AA248" s="816"/>
      <c r="AB248" s="816"/>
      <c r="AC248" s="816"/>
      <c r="AD248" s="816"/>
      <c r="AE248" s="816"/>
      <c r="AF248" s="483"/>
      <c r="AG248" s="817" t="s">
        <v>267</v>
      </c>
      <c r="AH248" s="818"/>
      <c r="AI248" s="818"/>
      <c r="AJ248" s="819"/>
      <c r="AK248" s="466">
        <f>SUM(AO240:AR247)</f>
        <v>51.41</v>
      </c>
      <c r="AL248" s="467"/>
      <c r="AM248" s="467"/>
      <c r="AN248" s="468"/>
      <c r="AO248" s="820">
        <f>ROUND(AG248*AK248,2)</f>
        <v>10.54</v>
      </c>
      <c r="AP248" s="821"/>
      <c r="AQ248" s="821"/>
      <c r="AR248" s="822"/>
    </row>
    <row r="249" spans="3:44" ht="18" customHeight="1">
      <c r="C249" s="743"/>
      <c r="D249" s="744"/>
      <c r="E249" s="744"/>
      <c r="F249" s="744"/>
      <c r="G249" s="744"/>
      <c r="H249" s="744"/>
      <c r="I249" s="744"/>
      <c r="J249" s="744"/>
      <c r="K249" s="744"/>
      <c r="L249" s="744"/>
      <c r="M249" s="744"/>
      <c r="N249" s="744"/>
      <c r="O249" s="744"/>
      <c r="P249" s="744"/>
      <c r="Q249" s="744"/>
      <c r="R249" s="744"/>
      <c r="S249" s="744"/>
      <c r="T249" s="744"/>
      <c r="U249" s="744"/>
      <c r="V249" s="744"/>
      <c r="W249" s="744"/>
      <c r="X249" s="744"/>
      <c r="Y249" s="745" t="s">
        <v>79</v>
      </c>
      <c r="Z249" s="745"/>
      <c r="AA249" s="745"/>
      <c r="AB249" s="745"/>
      <c r="AC249" s="745"/>
      <c r="AD249" s="745"/>
      <c r="AE249" s="745"/>
      <c r="AF249" s="745"/>
      <c r="AG249" s="745"/>
      <c r="AH249" s="745"/>
      <c r="AI249" s="745"/>
      <c r="AJ249" s="745"/>
      <c r="AK249" s="745"/>
      <c r="AL249" s="745"/>
      <c r="AM249" s="745"/>
      <c r="AN249" s="430"/>
      <c r="AO249" s="477">
        <f>SUM(AO240:AR248)</f>
        <v>61.949999999999996</v>
      </c>
      <c r="AP249" s="746"/>
      <c r="AQ249" s="746"/>
      <c r="AR249" s="747"/>
    </row>
    <row r="251" spans="3:44" ht="18" customHeight="1">
      <c r="C251" s="802"/>
      <c r="D251" s="803"/>
      <c r="E251" s="803"/>
      <c r="F251" s="803"/>
      <c r="G251" s="803"/>
      <c r="H251" s="803"/>
      <c r="I251" s="803"/>
      <c r="J251" s="803"/>
      <c r="K251" s="803"/>
      <c r="L251" s="803"/>
      <c r="M251" s="803"/>
      <c r="N251" s="803"/>
      <c r="O251" s="803"/>
      <c r="P251" s="803"/>
      <c r="Q251" s="803"/>
      <c r="R251" s="803"/>
      <c r="S251" s="803"/>
      <c r="T251" s="803"/>
      <c r="U251" s="803"/>
      <c r="V251" s="803"/>
      <c r="W251" s="803"/>
      <c r="X251" s="803"/>
      <c r="Y251" s="804" t="s">
        <v>80</v>
      </c>
      <c r="Z251" s="805"/>
      <c r="AA251" s="805"/>
      <c r="AB251" s="805"/>
      <c r="AC251" s="805"/>
      <c r="AD251" s="805"/>
      <c r="AE251" s="805"/>
      <c r="AF251" s="805"/>
      <c r="AG251" s="805"/>
      <c r="AH251" s="805"/>
      <c r="AI251" s="805"/>
      <c r="AJ251" s="805"/>
      <c r="AK251" s="805"/>
      <c r="AL251" s="805"/>
      <c r="AM251" s="805"/>
      <c r="AN251" s="806"/>
      <c r="AO251" s="807">
        <f>AO236+AO249</f>
        <v>65.06</v>
      </c>
      <c r="AP251" s="808"/>
      <c r="AQ251" s="808"/>
      <c r="AR251" s="809"/>
    </row>
    <row r="252" spans="3:44" ht="18" customHeight="1">
      <c r="C252" s="810" t="s">
        <v>81</v>
      </c>
      <c r="D252" s="745"/>
      <c r="E252" s="745"/>
      <c r="F252" s="745"/>
      <c r="G252" s="745"/>
      <c r="H252" s="745"/>
      <c r="I252" s="745"/>
      <c r="J252" s="745"/>
      <c r="K252" s="745"/>
      <c r="L252" s="745"/>
      <c r="M252" s="745"/>
      <c r="N252" s="745"/>
      <c r="O252" s="745"/>
      <c r="P252" s="430"/>
      <c r="Q252" s="477">
        <v>10</v>
      </c>
      <c r="R252" s="746"/>
      <c r="S252" s="746"/>
      <c r="T252" s="746"/>
      <c r="U252" s="746"/>
      <c r="V252" s="745" t="s">
        <v>246</v>
      </c>
      <c r="W252" s="745"/>
      <c r="X252" s="430"/>
      <c r="Y252" s="804" t="s">
        <v>82</v>
      </c>
      <c r="Z252" s="805"/>
      <c r="AA252" s="805"/>
      <c r="AB252" s="805"/>
      <c r="AC252" s="805"/>
      <c r="AD252" s="805"/>
      <c r="AE252" s="805"/>
      <c r="AF252" s="805"/>
      <c r="AG252" s="805"/>
      <c r="AH252" s="805"/>
      <c r="AI252" s="805"/>
      <c r="AJ252" s="805"/>
      <c r="AK252" s="805"/>
      <c r="AL252" s="805"/>
      <c r="AM252" s="805"/>
      <c r="AN252" s="806"/>
      <c r="AO252" s="811">
        <f>ROUND(AO251/Q252,2)</f>
        <v>6.51</v>
      </c>
      <c r="AP252" s="812"/>
      <c r="AQ252" s="812"/>
      <c r="AR252" s="813"/>
    </row>
    <row r="254" spans="3:44" ht="18" customHeight="1">
      <c r="C254" s="794" t="s">
        <v>43</v>
      </c>
      <c r="D254" s="774"/>
      <c r="E254" s="775"/>
      <c r="F254" s="773" t="s">
        <v>83</v>
      </c>
      <c r="G254" s="774"/>
      <c r="H254" s="774"/>
      <c r="I254" s="774"/>
      <c r="J254" s="774"/>
      <c r="K254" s="774"/>
      <c r="L254" s="774"/>
      <c r="M254" s="774"/>
      <c r="N254" s="774"/>
      <c r="O254" s="774"/>
      <c r="P254" s="774"/>
      <c r="Q254" s="774"/>
      <c r="R254" s="774"/>
      <c r="S254" s="774"/>
      <c r="T254" s="774"/>
      <c r="U254" s="774"/>
      <c r="V254" s="774"/>
      <c r="W254" s="774"/>
      <c r="X254" s="774"/>
      <c r="Y254" s="774"/>
      <c r="Z254" s="774"/>
      <c r="AA254" s="774"/>
      <c r="AB254" s="775"/>
      <c r="AC254" s="773" t="s">
        <v>84</v>
      </c>
      <c r="AD254" s="774"/>
      <c r="AE254" s="774"/>
      <c r="AF254" s="775"/>
      <c r="AG254" s="773" t="s">
        <v>85</v>
      </c>
      <c r="AH254" s="774"/>
      <c r="AI254" s="774"/>
      <c r="AJ254" s="775"/>
      <c r="AK254" s="773" t="s">
        <v>86</v>
      </c>
      <c r="AL254" s="774"/>
      <c r="AM254" s="774"/>
      <c r="AN254" s="775"/>
      <c r="AO254" s="773" t="s">
        <v>87</v>
      </c>
      <c r="AP254" s="774"/>
      <c r="AQ254" s="774"/>
      <c r="AR254" s="779"/>
    </row>
    <row r="255" spans="3:44" ht="18" customHeight="1">
      <c r="C255" s="795"/>
      <c r="D255" s="777"/>
      <c r="E255" s="778"/>
      <c r="F255" s="776"/>
      <c r="G255" s="777"/>
      <c r="H255" s="777"/>
      <c r="I255" s="777"/>
      <c r="J255" s="777"/>
      <c r="K255" s="777"/>
      <c r="L255" s="777"/>
      <c r="M255" s="777"/>
      <c r="N255" s="777"/>
      <c r="O255" s="777"/>
      <c r="P255" s="777"/>
      <c r="Q255" s="777"/>
      <c r="R255" s="777"/>
      <c r="S255" s="777"/>
      <c r="T255" s="777"/>
      <c r="U255" s="777"/>
      <c r="V255" s="777"/>
      <c r="W255" s="777"/>
      <c r="X255" s="777"/>
      <c r="Y255" s="777"/>
      <c r="Z255" s="777"/>
      <c r="AA255" s="777"/>
      <c r="AB255" s="778"/>
      <c r="AC255" s="776"/>
      <c r="AD255" s="777"/>
      <c r="AE255" s="777"/>
      <c r="AF255" s="778"/>
      <c r="AG255" s="776"/>
      <c r="AH255" s="777"/>
      <c r="AI255" s="777"/>
      <c r="AJ255" s="778"/>
      <c r="AK255" s="776"/>
      <c r="AL255" s="777"/>
      <c r="AM255" s="777"/>
      <c r="AN255" s="778"/>
      <c r="AO255" s="776"/>
      <c r="AP255" s="777"/>
      <c r="AQ255" s="777"/>
      <c r="AR255" s="780"/>
    </row>
    <row r="256" spans="3:44" ht="18" customHeight="1">
      <c r="C256" s="781" t="s">
        <v>239</v>
      </c>
      <c r="D256" s="782"/>
      <c r="E256" s="783"/>
      <c r="F256" s="493" t="s">
        <v>655</v>
      </c>
      <c r="G256" s="493"/>
      <c r="H256" s="493"/>
      <c r="I256" s="493"/>
      <c r="J256" s="493"/>
      <c r="K256" s="493"/>
      <c r="L256" s="493"/>
      <c r="M256" s="493"/>
      <c r="N256" s="493"/>
      <c r="O256" s="493"/>
      <c r="P256" s="493"/>
      <c r="Q256" s="493"/>
      <c r="R256" s="493"/>
      <c r="S256" s="493"/>
      <c r="T256" s="493"/>
      <c r="U256" s="493"/>
      <c r="V256" s="493"/>
      <c r="W256" s="493"/>
      <c r="X256" s="493"/>
      <c r="Y256" s="493"/>
      <c r="Z256" s="493"/>
      <c r="AA256" s="493"/>
      <c r="AB256" s="493"/>
      <c r="AC256" s="471" t="s">
        <v>246</v>
      </c>
      <c r="AD256" s="803"/>
      <c r="AE256" s="803"/>
      <c r="AF256" s="871"/>
      <c r="AG256" s="491">
        <v>2.67</v>
      </c>
      <c r="AH256" s="491"/>
      <c r="AI256" s="491"/>
      <c r="AJ256" s="491"/>
      <c r="AK256" s="791">
        <v>1</v>
      </c>
      <c r="AL256" s="792"/>
      <c r="AM256" s="792"/>
      <c r="AN256" s="793"/>
      <c r="AO256" s="449">
        <f>ROUND(AG256*AK256,2)</f>
        <v>2.67</v>
      </c>
      <c r="AP256" s="449"/>
      <c r="AQ256" s="449"/>
      <c r="AR256" s="450"/>
    </row>
    <row r="257" spans="3:44" ht="18" customHeight="1">
      <c r="C257" s="758" t="s">
        <v>1382</v>
      </c>
      <c r="D257" s="759"/>
      <c r="E257" s="760"/>
      <c r="F257" s="796" t="s">
        <v>471</v>
      </c>
      <c r="G257" s="797"/>
      <c r="H257" s="797"/>
      <c r="I257" s="797"/>
      <c r="J257" s="797"/>
      <c r="K257" s="797"/>
      <c r="L257" s="797"/>
      <c r="M257" s="797"/>
      <c r="N257" s="797"/>
      <c r="O257" s="797"/>
      <c r="P257" s="797"/>
      <c r="Q257" s="797"/>
      <c r="R257" s="797"/>
      <c r="S257" s="797"/>
      <c r="T257" s="797"/>
      <c r="U257" s="797"/>
      <c r="V257" s="797"/>
      <c r="W257" s="797"/>
      <c r="X257" s="797"/>
      <c r="Y257" s="797"/>
      <c r="Z257" s="797"/>
      <c r="AA257" s="797"/>
      <c r="AB257" s="798"/>
      <c r="AC257" s="799" t="s">
        <v>246</v>
      </c>
      <c r="AD257" s="800"/>
      <c r="AE257" s="800"/>
      <c r="AF257" s="801"/>
      <c r="AG257" s="466">
        <f>VLOOKUP(C257,[4]MATERIAL!A$1:D$65536,4,FALSE)</f>
        <v>8.84</v>
      </c>
      <c r="AH257" s="467"/>
      <c r="AI257" s="467"/>
      <c r="AJ257" s="468"/>
      <c r="AK257" s="737">
        <v>0.15</v>
      </c>
      <c r="AL257" s="738"/>
      <c r="AM257" s="738"/>
      <c r="AN257" s="739"/>
      <c r="AO257" s="449">
        <f>ROUND(AG257*AK257,2)</f>
        <v>1.33</v>
      </c>
      <c r="AP257" s="449"/>
      <c r="AQ257" s="449"/>
      <c r="AR257" s="450"/>
    </row>
    <row r="258" spans="3:44" ht="18" customHeight="1">
      <c r="C258" s="758"/>
      <c r="D258" s="759"/>
      <c r="E258" s="760"/>
      <c r="F258" s="796"/>
      <c r="G258" s="797"/>
      <c r="H258" s="797"/>
      <c r="I258" s="797"/>
      <c r="J258" s="797"/>
      <c r="K258" s="797"/>
      <c r="L258" s="797"/>
      <c r="M258" s="797"/>
      <c r="N258" s="797"/>
      <c r="O258" s="797"/>
      <c r="P258" s="797"/>
      <c r="Q258" s="797"/>
      <c r="R258" s="797"/>
      <c r="S258" s="797"/>
      <c r="T258" s="797"/>
      <c r="U258" s="797"/>
      <c r="V258" s="797"/>
      <c r="W258" s="797"/>
      <c r="X258" s="797"/>
      <c r="Y258" s="797"/>
      <c r="Z258" s="797"/>
      <c r="AA258" s="797"/>
      <c r="AB258" s="798"/>
      <c r="AC258" s="799"/>
      <c r="AD258" s="800"/>
      <c r="AE258" s="800"/>
      <c r="AF258" s="801"/>
      <c r="AG258" s="466"/>
      <c r="AH258" s="467"/>
      <c r="AI258" s="467"/>
      <c r="AJ258" s="468"/>
      <c r="AK258" s="737"/>
      <c r="AL258" s="738"/>
      <c r="AM258" s="738"/>
      <c r="AN258" s="739"/>
      <c r="AO258" s="740"/>
      <c r="AP258" s="741"/>
      <c r="AQ258" s="741"/>
      <c r="AR258" s="742"/>
    </row>
    <row r="259" spans="3:44" ht="18" customHeight="1">
      <c r="C259" s="758"/>
      <c r="D259" s="759"/>
      <c r="E259" s="760"/>
      <c r="F259" s="796">
        <v>0</v>
      </c>
      <c r="G259" s="797"/>
      <c r="H259" s="797"/>
      <c r="I259" s="797"/>
      <c r="J259" s="797"/>
      <c r="K259" s="797"/>
      <c r="L259" s="797"/>
      <c r="M259" s="797"/>
      <c r="N259" s="797"/>
      <c r="O259" s="797"/>
      <c r="P259" s="797"/>
      <c r="Q259" s="797"/>
      <c r="R259" s="797"/>
      <c r="S259" s="797"/>
      <c r="T259" s="797"/>
      <c r="U259" s="797"/>
      <c r="V259" s="797"/>
      <c r="W259" s="797"/>
      <c r="X259" s="797"/>
      <c r="Y259" s="797"/>
      <c r="Z259" s="797"/>
      <c r="AA259" s="797"/>
      <c r="AB259" s="798"/>
      <c r="AC259" s="799"/>
      <c r="AD259" s="800"/>
      <c r="AE259" s="800"/>
      <c r="AF259" s="801"/>
      <c r="AG259" s="466"/>
      <c r="AH259" s="467"/>
      <c r="AI259" s="467"/>
      <c r="AJ259" s="468"/>
      <c r="AK259" s="737"/>
      <c r="AL259" s="738"/>
      <c r="AM259" s="738"/>
      <c r="AN259" s="739"/>
      <c r="AO259" s="740"/>
      <c r="AP259" s="741"/>
      <c r="AQ259" s="741"/>
      <c r="AR259" s="742"/>
    </row>
    <row r="260" spans="3:44" ht="18" customHeight="1">
      <c r="C260" s="758"/>
      <c r="D260" s="759"/>
      <c r="E260" s="760"/>
      <c r="F260" s="796">
        <v>0</v>
      </c>
      <c r="G260" s="797"/>
      <c r="H260" s="797"/>
      <c r="I260" s="797"/>
      <c r="J260" s="797"/>
      <c r="K260" s="797"/>
      <c r="L260" s="797"/>
      <c r="M260" s="797"/>
      <c r="N260" s="797"/>
      <c r="O260" s="797"/>
      <c r="P260" s="797"/>
      <c r="Q260" s="797"/>
      <c r="R260" s="797"/>
      <c r="S260" s="797"/>
      <c r="T260" s="797"/>
      <c r="U260" s="797"/>
      <c r="V260" s="797"/>
      <c r="W260" s="797"/>
      <c r="X260" s="797"/>
      <c r="Y260" s="797"/>
      <c r="Z260" s="797"/>
      <c r="AA260" s="797"/>
      <c r="AB260" s="798"/>
      <c r="AC260" s="799">
        <v>0</v>
      </c>
      <c r="AD260" s="800"/>
      <c r="AE260" s="800"/>
      <c r="AF260" s="801"/>
      <c r="AG260" s="466">
        <v>0</v>
      </c>
      <c r="AH260" s="467"/>
      <c r="AI260" s="467"/>
      <c r="AJ260" s="468"/>
      <c r="AK260" s="737"/>
      <c r="AL260" s="738"/>
      <c r="AM260" s="738"/>
      <c r="AN260" s="739"/>
      <c r="AO260" s="740">
        <f>ROUND(AG260*AK260,2)</f>
        <v>0</v>
      </c>
      <c r="AP260" s="741"/>
      <c r="AQ260" s="741"/>
      <c r="AR260" s="742"/>
    </row>
    <row r="261" spans="3:44" ht="18" customHeight="1">
      <c r="C261" s="758"/>
      <c r="D261" s="759"/>
      <c r="E261" s="760"/>
      <c r="F261" s="796"/>
      <c r="G261" s="797"/>
      <c r="H261" s="797"/>
      <c r="I261" s="797"/>
      <c r="J261" s="797"/>
      <c r="K261" s="797"/>
      <c r="L261" s="797"/>
      <c r="M261" s="797"/>
      <c r="N261" s="797"/>
      <c r="O261" s="797"/>
      <c r="P261" s="797"/>
      <c r="Q261" s="797"/>
      <c r="R261" s="797"/>
      <c r="S261" s="797"/>
      <c r="T261" s="797"/>
      <c r="U261" s="797"/>
      <c r="V261" s="797"/>
      <c r="W261" s="797"/>
      <c r="X261" s="797"/>
      <c r="Y261" s="797"/>
      <c r="Z261" s="797"/>
      <c r="AA261" s="797"/>
      <c r="AB261" s="798"/>
      <c r="AC261" s="799"/>
      <c r="AD261" s="800"/>
      <c r="AE261" s="800"/>
      <c r="AF261" s="801"/>
      <c r="AG261" s="466"/>
      <c r="AH261" s="467"/>
      <c r="AI261" s="467"/>
      <c r="AJ261" s="468"/>
      <c r="AK261" s="737"/>
      <c r="AL261" s="738"/>
      <c r="AM261" s="738"/>
      <c r="AN261" s="739"/>
      <c r="AO261" s="740"/>
      <c r="AP261" s="741"/>
      <c r="AQ261" s="741"/>
      <c r="AR261" s="742"/>
    </row>
    <row r="262" spans="3:44" ht="18" customHeight="1">
      <c r="C262" s="758"/>
      <c r="D262" s="759"/>
      <c r="E262" s="760"/>
      <c r="F262" s="796"/>
      <c r="G262" s="797"/>
      <c r="H262" s="797"/>
      <c r="I262" s="797"/>
      <c r="J262" s="797"/>
      <c r="K262" s="797"/>
      <c r="L262" s="797"/>
      <c r="M262" s="797"/>
      <c r="N262" s="797"/>
      <c r="O262" s="797"/>
      <c r="P262" s="797"/>
      <c r="Q262" s="797"/>
      <c r="R262" s="797"/>
      <c r="S262" s="797"/>
      <c r="T262" s="797"/>
      <c r="U262" s="797"/>
      <c r="V262" s="797"/>
      <c r="W262" s="797"/>
      <c r="X262" s="797"/>
      <c r="Y262" s="797"/>
      <c r="Z262" s="797"/>
      <c r="AA262" s="797"/>
      <c r="AB262" s="798"/>
      <c r="AC262" s="799"/>
      <c r="AD262" s="800"/>
      <c r="AE262" s="800"/>
      <c r="AF262" s="801"/>
      <c r="AG262" s="466"/>
      <c r="AH262" s="467"/>
      <c r="AI262" s="467"/>
      <c r="AJ262" s="468"/>
      <c r="AK262" s="737"/>
      <c r="AL262" s="738"/>
      <c r="AM262" s="738"/>
      <c r="AN262" s="739"/>
      <c r="AO262" s="740"/>
      <c r="AP262" s="741"/>
      <c r="AQ262" s="741"/>
      <c r="AR262" s="742"/>
    </row>
    <row r="263" spans="3:44" ht="18" customHeight="1">
      <c r="C263" s="758"/>
      <c r="D263" s="759"/>
      <c r="E263" s="760"/>
      <c r="F263" s="796"/>
      <c r="G263" s="797"/>
      <c r="H263" s="797"/>
      <c r="I263" s="797"/>
      <c r="J263" s="797"/>
      <c r="K263" s="797"/>
      <c r="L263" s="797"/>
      <c r="M263" s="797"/>
      <c r="N263" s="797"/>
      <c r="O263" s="797"/>
      <c r="P263" s="797"/>
      <c r="Q263" s="797"/>
      <c r="R263" s="797"/>
      <c r="S263" s="797"/>
      <c r="T263" s="797"/>
      <c r="U263" s="797"/>
      <c r="V263" s="797"/>
      <c r="W263" s="797"/>
      <c r="X263" s="797"/>
      <c r="Y263" s="797"/>
      <c r="Z263" s="797"/>
      <c r="AA263" s="797"/>
      <c r="AB263" s="798"/>
      <c r="AC263" s="799"/>
      <c r="AD263" s="800"/>
      <c r="AE263" s="800"/>
      <c r="AF263" s="801"/>
      <c r="AG263" s="466"/>
      <c r="AH263" s="467"/>
      <c r="AI263" s="467"/>
      <c r="AJ263" s="468"/>
      <c r="AK263" s="737"/>
      <c r="AL263" s="738"/>
      <c r="AM263" s="738"/>
      <c r="AN263" s="739"/>
      <c r="AO263" s="740"/>
      <c r="AP263" s="741"/>
      <c r="AQ263" s="741"/>
      <c r="AR263" s="742"/>
    </row>
    <row r="264" spans="3:44" ht="18" customHeight="1">
      <c r="C264" s="743"/>
      <c r="D264" s="744"/>
      <c r="E264" s="744"/>
      <c r="F264" s="744"/>
      <c r="G264" s="744"/>
      <c r="H264" s="744"/>
      <c r="I264" s="744"/>
      <c r="J264" s="744"/>
      <c r="K264" s="744"/>
      <c r="L264" s="744"/>
      <c r="M264" s="744"/>
      <c r="N264" s="744"/>
      <c r="O264" s="744"/>
      <c r="P264" s="744"/>
      <c r="Q264" s="744"/>
      <c r="R264" s="744"/>
      <c r="S264" s="744"/>
      <c r="T264" s="744"/>
      <c r="U264" s="744"/>
      <c r="V264" s="744"/>
      <c r="W264" s="744"/>
      <c r="X264" s="744"/>
      <c r="Y264" s="745" t="s">
        <v>88</v>
      </c>
      <c r="Z264" s="745"/>
      <c r="AA264" s="745"/>
      <c r="AB264" s="745"/>
      <c r="AC264" s="745"/>
      <c r="AD264" s="745"/>
      <c r="AE264" s="745"/>
      <c r="AF264" s="745"/>
      <c r="AG264" s="745"/>
      <c r="AH264" s="745"/>
      <c r="AI264" s="745"/>
      <c r="AJ264" s="745"/>
      <c r="AK264" s="745"/>
      <c r="AL264" s="745"/>
      <c r="AM264" s="745"/>
      <c r="AN264" s="430"/>
      <c r="AO264" s="477">
        <f>SUM(AO256:AR263)</f>
        <v>4</v>
      </c>
      <c r="AP264" s="746"/>
      <c r="AQ264" s="746"/>
      <c r="AR264" s="747"/>
    </row>
    <row r="266" spans="3:44" ht="18" customHeight="1">
      <c r="C266" s="794" t="s">
        <v>43</v>
      </c>
      <c r="D266" s="774"/>
      <c r="E266" s="775"/>
      <c r="F266" s="773" t="s">
        <v>89</v>
      </c>
      <c r="G266" s="774"/>
      <c r="H266" s="774"/>
      <c r="I266" s="774"/>
      <c r="J266" s="774"/>
      <c r="K266" s="774"/>
      <c r="L266" s="774"/>
      <c r="M266" s="774"/>
      <c r="N266" s="774"/>
      <c r="O266" s="774"/>
      <c r="P266" s="774"/>
      <c r="Q266" s="774"/>
      <c r="R266" s="775"/>
      <c r="S266" s="773" t="s">
        <v>90</v>
      </c>
      <c r="T266" s="774"/>
      <c r="U266" s="775"/>
      <c r="V266" s="773" t="s">
        <v>91</v>
      </c>
      <c r="W266" s="774"/>
      <c r="X266" s="775"/>
      <c r="Y266" s="773" t="s">
        <v>92</v>
      </c>
      <c r="Z266" s="774"/>
      <c r="AA266" s="774"/>
      <c r="AB266" s="774"/>
      <c r="AC266" s="774"/>
      <c r="AD266" s="775"/>
      <c r="AE266" s="773" t="s">
        <v>93</v>
      </c>
      <c r="AF266" s="774"/>
      <c r="AG266" s="775"/>
      <c r="AH266" s="773" t="s">
        <v>94</v>
      </c>
      <c r="AI266" s="774"/>
      <c r="AJ266" s="775"/>
      <c r="AK266" s="773" t="s">
        <v>86</v>
      </c>
      <c r="AL266" s="774"/>
      <c r="AM266" s="774"/>
      <c r="AN266" s="775"/>
      <c r="AO266" s="773" t="s">
        <v>87</v>
      </c>
      <c r="AP266" s="774"/>
      <c r="AQ266" s="774"/>
      <c r="AR266" s="779"/>
    </row>
    <row r="267" spans="3:44" ht="18" customHeight="1">
      <c r="C267" s="795"/>
      <c r="D267" s="777"/>
      <c r="E267" s="778"/>
      <c r="F267" s="776"/>
      <c r="G267" s="777"/>
      <c r="H267" s="777"/>
      <c r="I267" s="777"/>
      <c r="J267" s="777"/>
      <c r="K267" s="777"/>
      <c r="L267" s="777"/>
      <c r="M267" s="777"/>
      <c r="N267" s="777"/>
      <c r="O267" s="777"/>
      <c r="P267" s="777"/>
      <c r="Q267" s="777"/>
      <c r="R267" s="778"/>
      <c r="S267" s="776"/>
      <c r="T267" s="777"/>
      <c r="U267" s="778"/>
      <c r="V267" s="776"/>
      <c r="W267" s="777"/>
      <c r="X267" s="778"/>
      <c r="Y267" s="776"/>
      <c r="Z267" s="777"/>
      <c r="AA267" s="777"/>
      <c r="AB267" s="777"/>
      <c r="AC267" s="777"/>
      <c r="AD267" s="778"/>
      <c r="AE267" s="776"/>
      <c r="AF267" s="777"/>
      <c r="AG267" s="778"/>
      <c r="AH267" s="776"/>
      <c r="AI267" s="777"/>
      <c r="AJ267" s="778"/>
      <c r="AK267" s="776"/>
      <c r="AL267" s="777"/>
      <c r="AM267" s="777"/>
      <c r="AN267" s="778"/>
      <c r="AO267" s="776"/>
      <c r="AP267" s="777"/>
      <c r="AQ267" s="777"/>
      <c r="AR267" s="780"/>
    </row>
    <row r="268" spans="3:44" ht="18" customHeight="1">
      <c r="C268" s="781"/>
      <c r="D268" s="782"/>
      <c r="E268" s="783"/>
      <c r="F268" s="457"/>
      <c r="G268" s="457"/>
      <c r="H268" s="457"/>
      <c r="I268" s="457"/>
      <c r="J268" s="457"/>
      <c r="K268" s="457"/>
      <c r="L268" s="457"/>
      <c r="M268" s="457"/>
      <c r="N268" s="457"/>
      <c r="O268" s="457"/>
      <c r="P268" s="457"/>
      <c r="Q268" s="457"/>
      <c r="R268" s="457"/>
      <c r="S268" s="784"/>
      <c r="T268" s="785"/>
      <c r="U268" s="786"/>
      <c r="V268" s="784"/>
      <c r="W268" s="785"/>
      <c r="X268" s="786"/>
      <c r="Y268" s="787"/>
      <c r="Z268" s="788"/>
      <c r="AA268" s="788"/>
      <c r="AB268" s="788"/>
      <c r="AC268" s="788"/>
      <c r="AD268" s="789"/>
      <c r="AE268" s="449"/>
      <c r="AF268" s="449"/>
      <c r="AG268" s="449"/>
      <c r="AH268" s="770"/>
      <c r="AI268" s="771"/>
      <c r="AJ268" s="790"/>
      <c r="AK268" s="791"/>
      <c r="AL268" s="792"/>
      <c r="AM268" s="792"/>
      <c r="AN268" s="793"/>
      <c r="AO268" s="770"/>
      <c r="AP268" s="771"/>
      <c r="AQ268" s="771"/>
      <c r="AR268" s="772"/>
    </row>
    <row r="269" spans="3:44" ht="18" customHeight="1">
      <c r="C269" s="758"/>
      <c r="D269" s="759"/>
      <c r="E269" s="760"/>
      <c r="F269" s="761"/>
      <c r="G269" s="762"/>
      <c r="H269" s="762"/>
      <c r="I269" s="762"/>
      <c r="J269" s="762"/>
      <c r="K269" s="762"/>
      <c r="L269" s="762"/>
      <c r="M269" s="762"/>
      <c r="N269" s="762"/>
      <c r="O269" s="762"/>
      <c r="P269" s="762"/>
      <c r="Q269" s="762"/>
      <c r="R269" s="763"/>
      <c r="S269" s="764"/>
      <c r="T269" s="765"/>
      <c r="U269" s="766"/>
      <c r="V269" s="764"/>
      <c r="W269" s="765"/>
      <c r="X269" s="766"/>
      <c r="Y269" s="767"/>
      <c r="Z269" s="768"/>
      <c r="AA269" s="768"/>
      <c r="AB269" s="768"/>
      <c r="AC269" s="768"/>
      <c r="AD269" s="769"/>
      <c r="AE269" s="740"/>
      <c r="AF269" s="741"/>
      <c r="AG269" s="757"/>
      <c r="AH269" s="740"/>
      <c r="AI269" s="741"/>
      <c r="AJ269" s="757"/>
      <c r="AK269" s="737"/>
      <c r="AL269" s="738"/>
      <c r="AM269" s="738"/>
      <c r="AN269" s="739"/>
      <c r="AO269" s="740">
        <f t="shared" ref="AO269:AO275" si="3">ROUND(AE269*AH269*AK269,2)</f>
        <v>0</v>
      </c>
      <c r="AP269" s="741"/>
      <c r="AQ269" s="741"/>
      <c r="AR269" s="742"/>
    </row>
    <row r="270" spans="3:44" ht="18" customHeight="1">
      <c r="C270" s="758"/>
      <c r="D270" s="759"/>
      <c r="E270" s="760"/>
      <c r="F270" s="761"/>
      <c r="G270" s="762"/>
      <c r="H270" s="762"/>
      <c r="I270" s="762"/>
      <c r="J270" s="762"/>
      <c r="K270" s="762"/>
      <c r="L270" s="762"/>
      <c r="M270" s="762"/>
      <c r="N270" s="762"/>
      <c r="O270" s="762"/>
      <c r="P270" s="762"/>
      <c r="Q270" s="762"/>
      <c r="R270" s="763"/>
      <c r="S270" s="764"/>
      <c r="T270" s="765"/>
      <c r="U270" s="766"/>
      <c r="V270" s="764"/>
      <c r="W270" s="765"/>
      <c r="X270" s="766"/>
      <c r="Y270" s="767"/>
      <c r="Z270" s="768"/>
      <c r="AA270" s="768"/>
      <c r="AB270" s="768"/>
      <c r="AC270" s="768"/>
      <c r="AD270" s="769"/>
      <c r="AE270" s="740"/>
      <c r="AF270" s="741"/>
      <c r="AG270" s="757"/>
      <c r="AH270" s="740"/>
      <c r="AI270" s="741"/>
      <c r="AJ270" s="757"/>
      <c r="AK270" s="737"/>
      <c r="AL270" s="738"/>
      <c r="AM270" s="738"/>
      <c r="AN270" s="739"/>
      <c r="AO270" s="740">
        <f t="shared" si="3"/>
        <v>0</v>
      </c>
      <c r="AP270" s="741"/>
      <c r="AQ270" s="741"/>
      <c r="AR270" s="742"/>
    </row>
    <row r="271" spans="3:44" ht="18" customHeight="1">
      <c r="C271" s="758"/>
      <c r="D271" s="759"/>
      <c r="E271" s="760"/>
      <c r="F271" s="761"/>
      <c r="G271" s="762"/>
      <c r="H271" s="762"/>
      <c r="I271" s="762"/>
      <c r="J271" s="762"/>
      <c r="K271" s="762"/>
      <c r="L271" s="762"/>
      <c r="M271" s="762"/>
      <c r="N271" s="762"/>
      <c r="O271" s="762"/>
      <c r="P271" s="762"/>
      <c r="Q271" s="762"/>
      <c r="R271" s="763"/>
      <c r="S271" s="764"/>
      <c r="T271" s="765"/>
      <c r="U271" s="766"/>
      <c r="V271" s="764"/>
      <c r="W271" s="765"/>
      <c r="X271" s="766"/>
      <c r="Y271" s="767"/>
      <c r="Z271" s="768"/>
      <c r="AA271" s="768"/>
      <c r="AB271" s="768"/>
      <c r="AC271" s="768"/>
      <c r="AD271" s="769"/>
      <c r="AE271" s="740"/>
      <c r="AF271" s="741"/>
      <c r="AG271" s="757"/>
      <c r="AH271" s="740"/>
      <c r="AI271" s="741"/>
      <c r="AJ271" s="757"/>
      <c r="AK271" s="737"/>
      <c r="AL271" s="738"/>
      <c r="AM271" s="738"/>
      <c r="AN271" s="739"/>
      <c r="AO271" s="740">
        <f t="shared" si="3"/>
        <v>0</v>
      </c>
      <c r="AP271" s="741"/>
      <c r="AQ271" s="741"/>
      <c r="AR271" s="742"/>
    </row>
    <row r="272" spans="3:44" ht="18" customHeight="1">
      <c r="C272" s="758"/>
      <c r="D272" s="759"/>
      <c r="E272" s="760"/>
      <c r="F272" s="761"/>
      <c r="G272" s="762"/>
      <c r="H272" s="762"/>
      <c r="I272" s="762"/>
      <c r="J272" s="762"/>
      <c r="K272" s="762"/>
      <c r="L272" s="762"/>
      <c r="M272" s="762"/>
      <c r="N272" s="762"/>
      <c r="O272" s="762"/>
      <c r="P272" s="762"/>
      <c r="Q272" s="762"/>
      <c r="R272" s="763"/>
      <c r="S272" s="764"/>
      <c r="T272" s="765"/>
      <c r="U272" s="766"/>
      <c r="V272" s="764"/>
      <c r="W272" s="765"/>
      <c r="X272" s="766"/>
      <c r="Y272" s="767"/>
      <c r="Z272" s="768"/>
      <c r="AA272" s="768"/>
      <c r="AB272" s="768"/>
      <c r="AC272" s="768"/>
      <c r="AD272" s="769"/>
      <c r="AE272" s="740"/>
      <c r="AF272" s="741"/>
      <c r="AG272" s="757"/>
      <c r="AH272" s="740"/>
      <c r="AI272" s="741"/>
      <c r="AJ272" s="757"/>
      <c r="AK272" s="737"/>
      <c r="AL272" s="738"/>
      <c r="AM272" s="738"/>
      <c r="AN272" s="739"/>
      <c r="AO272" s="740">
        <f t="shared" si="3"/>
        <v>0</v>
      </c>
      <c r="AP272" s="741"/>
      <c r="AQ272" s="741"/>
      <c r="AR272" s="742"/>
    </row>
    <row r="273" spans="1:44" ht="18" customHeight="1">
      <c r="C273" s="758"/>
      <c r="D273" s="759"/>
      <c r="E273" s="760"/>
      <c r="F273" s="761"/>
      <c r="G273" s="762"/>
      <c r="H273" s="762"/>
      <c r="I273" s="762"/>
      <c r="J273" s="762"/>
      <c r="K273" s="762"/>
      <c r="L273" s="762"/>
      <c r="M273" s="762"/>
      <c r="N273" s="762"/>
      <c r="O273" s="762"/>
      <c r="P273" s="762"/>
      <c r="Q273" s="762"/>
      <c r="R273" s="763"/>
      <c r="S273" s="764"/>
      <c r="T273" s="765"/>
      <c r="U273" s="766"/>
      <c r="V273" s="764"/>
      <c r="W273" s="765"/>
      <c r="X273" s="766"/>
      <c r="Y273" s="767"/>
      <c r="Z273" s="768"/>
      <c r="AA273" s="768"/>
      <c r="AB273" s="768"/>
      <c r="AC273" s="768"/>
      <c r="AD273" s="769"/>
      <c r="AE273" s="740"/>
      <c r="AF273" s="741"/>
      <c r="AG273" s="757"/>
      <c r="AH273" s="740"/>
      <c r="AI273" s="741"/>
      <c r="AJ273" s="757"/>
      <c r="AK273" s="737"/>
      <c r="AL273" s="738"/>
      <c r="AM273" s="738"/>
      <c r="AN273" s="739"/>
      <c r="AO273" s="740">
        <f t="shared" si="3"/>
        <v>0</v>
      </c>
      <c r="AP273" s="741"/>
      <c r="AQ273" s="741"/>
      <c r="AR273" s="742"/>
    </row>
    <row r="274" spans="1:44" ht="18" customHeight="1">
      <c r="C274" s="758"/>
      <c r="D274" s="759"/>
      <c r="E274" s="760"/>
      <c r="F274" s="761"/>
      <c r="G274" s="762"/>
      <c r="H274" s="762"/>
      <c r="I274" s="762"/>
      <c r="J274" s="762"/>
      <c r="K274" s="762"/>
      <c r="L274" s="762"/>
      <c r="M274" s="762"/>
      <c r="N274" s="762"/>
      <c r="O274" s="762"/>
      <c r="P274" s="762"/>
      <c r="Q274" s="762"/>
      <c r="R274" s="763"/>
      <c r="S274" s="764"/>
      <c r="T274" s="765"/>
      <c r="U274" s="766"/>
      <c r="V274" s="764"/>
      <c r="W274" s="765"/>
      <c r="X274" s="766"/>
      <c r="Y274" s="767"/>
      <c r="Z274" s="768"/>
      <c r="AA274" s="768"/>
      <c r="AB274" s="768"/>
      <c r="AC274" s="768"/>
      <c r="AD274" s="769"/>
      <c r="AE274" s="740"/>
      <c r="AF274" s="741"/>
      <c r="AG274" s="757"/>
      <c r="AH274" s="740"/>
      <c r="AI274" s="741"/>
      <c r="AJ274" s="757"/>
      <c r="AK274" s="737"/>
      <c r="AL274" s="738"/>
      <c r="AM274" s="738"/>
      <c r="AN274" s="739"/>
      <c r="AO274" s="740">
        <f t="shared" si="3"/>
        <v>0</v>
      </c>
      <c r="AP274" s="741"/>
      <c r="AQ274" s="741"/>
      <c r="AR274" s="742"/>
    </row>
    <row r="275" spans="1:44" ht="18" customHeight="1">
      <c r="C275" s="758"/>
      <c r="D275" s="759"/>
      <c r="E275" s="760"/>
      <c r="F275" s="761"/>
      <c r="G275" s="762"/>
      <c r="H275" s="762"/>
      <c r="I275" s="762"/>
      <c r="J275" s="762"/>
      <c r="K275" s="762"/>
      <c r="L275" s="762"/>
      <c r="M275" s="762"/>
      <c r="N275" s="762"/>
      <c r="O275" s="762"/>
      <c r="P275" s="762"/>
      <c r="Q275" s="762"/>
      <c r="R275" s="763"/>
      <c r="S275" s="764"/>
      <c r="T275" s="765"/>
      <c r="U275" s="766"/>
      <c r="V275" s="764"/>
      <c r="W275" s="765"/>
      <c r="X275" s="766"/>
      <c r="Y275" s="767"/>
      <c r="Z275" s="768"/>
      <c r="AA275" s="768"/>
      <c r="AB275" s="768"/>
      <c r="AC275" s="768"/>
      <c r="AD275" s="769"/>
      <c r="AE275" s="740"/>
      <c r="AF275" s="741"/>
      <c r="AG275" s="757"/>
      <c r="AH275" s="740"/>
      <c r="AI275" s="741"/>
      <c r="AJ275" s="757"/>
      <c r="AK275" s="737"/>
      <c r="AL275" s="738"/>
      <c r="AM275" s="738"/>
      <c r="AN275" s="739"/>
      <c r="AO275" s="740">
        <f t="shared" si="3"/>
        <v>0</v>
      </c>
      <c r="AP275" s="741"/>
      <c r="AQ275" s="741"/>
      <c r="AR275" s="742"/>
    </row>
    <row r="276" spans="1:44" ht="18" customHeight="1">
      <c r="C276" s="743"/>
      <c r="D276" s="744"/>
      <c r="E276" s="744"/>
      <c r="F276" s="744"/>
      <c r="G276" s="744"/>
      <c r="H276" s="744"/>
      <c r="I276" s="744"/>
      <c r="J276" s="744"/>
      <c r="K276" s="744"/>
      <c r="L276" s="744"/>
      <c r="M276" s="744"/>
      <c r="N276" s="744"/>
      <c r="O276" s="744"/>
      <c r="P276" s="744"/>
      <c r="Q276" s="744"/>
      <c r="R276" s="744"/>
      <c r="S276" s="744"/>
      <c r="T276" s="744"/>
      <c r="U276" s="744"/>
      <c r="V276" s="744"/>
      <c r="W276" s="744"/>
      <c r="X276" s="744"/>
      <c r="Y276" s="745" t="s">
        <v>95</v>
      </c>
      <c r="Z276" s="745"/>
      <c r="AA276" s="745"/>
      <c r="AB276" s="745"/>
      <c r="AC276" s="745"/>
      <c r="AD276" s="745"/>
      <c r="AE276" s="745"/>
      <c r="AF276" s="745"/>
      <c r="AG276" s="745"/>
      <c r="AH276" s="745"/>
      <c r="AI276" s="745"/>
      <c r="AJ276" s="745"/>
      <c r="AK276" s="745"/>
      <c r="AL276" s="745"/>
      <c r="AM276" s="745"/>
      <c r="AN276" s="430"/>
      <c r="AO276" s="477">
        <f>SUM(AO268:AR275)</f>
        <v>0</v>
      </c>
      <c r="AP276" s="746"/>
      <c r="AQ276" s="746"/>
      <c r="AR276" s="747"/>
    </row>
    <row r="278" spans="1:44" ht="18" customHeight="1">
      <c r="C278" s="434"/>
      <c r="D278" s="434"/>
      <c r="E278" s="434"/>
      <c r="F278" s="434"/>
      <c r="G278" s="434"/>
      <c r="H278" s="434"/>
      <c r="I278" s="434"/>
      <c r="J278" s="434"/>
      <c r="K278" s="434"/>
      <c r="L278" s="434"/>
      <c r="M278" s="434"/>
      <c r="N278" s="434"/>
      <c r="O278" s="434"/>
      <c r="P278" s="434"/>
      <c r="Q278" s="434"/>
      <c r="R278" s="434"/>
      <c r="S278" s="434"/>
      <c r="T278" s="434"/>
      <c r="U278" s="434"/>
      <c r="V278" s="434"/>
      <c r="W278" s="434"/>
      <c r="X278" s="748"/>
      <c r="Y278" s="749" t="s">
        <v>96</v>
      </c>
      <c r="Z278" s="750"/>
      <c r="AA278" s="750"/>
      <c r="AB278" s="750"/>
      <c r="AC278" s="750"/>
      <c r="AD278" s="750"/>
      <c r="AE278" s="750"/>
      <c r="AF278" s="750"/>
      <c r="AG278" s="750"/>
      <c r="AH278" s="750"/>
      <c r="AI278" s="750"/>
      <c r="AJ278" s="750"/>
      <c r="AK278" s="750"/>
      <c r="AL278" s="750"/>
      <c r="AM278" s="750"/>
      <c r="AN278" s="751"/>
      <c r="AO278" s="752">
        <f>AO252+AO264+AO276</f>
        <v>10.51</v>
      </c>
      <c r="AP278" s="753"/>
      <c r="AQ278" s="753"/>
      <c r="AR278" s="754"/>
    </row>
    <row r="279" spans="1:44" ht="18" customHeight="1">
      <c r="C279" s="434"/>
      <c r="D279" s="434"/>
      <c r="E279" s="434"/>
      <c r="F279" s="434"/>
      <c r="G279" s="434"/>
      <c r="H279" s="434"/>
      <c r="I279" s="434"/>
      <c r="J279" s="434"/>
      <c r="K279" s="434"/>
      <c r="L279" s="434"/>
      <c r="M279" s="434"/>
      <c r="N279" s="434"/>
      <c r="O279" s="434"/>
      <c r="P279" s="434"/>
      <c r="Q279" s="434"/>
      <c r="R279" s="434"/>
      <c r="S279" s="434"/>
      <c r="T279" s="434"/>
      <c r="U279" s="434"/>
      <c r="V279" s="434"/>
      <c r="W279" s="434"/>
      <c r="X279" s="748"/>
      <c r="Y279" s="755" t="s">
        <v>97</v>
      </c>
      <c r="Z279" s="756"/>
      <c r="AA279" s="756"/>
      <c r="AB279" s="756"/>
      <c r="AC279" s="756"/>
      <c r="AD279" s="756"/>
      <c r="AE279" s="756"/>
      <c r="AF279" s="756"/>
      <c r="AG279" s="756"/>
      <c r="AH279" s="442">
        <v>0.2031</v>
      </c>
      <c r="AI279" s="442"/>
      <c r="AJ279" s="442"/>
      <c r="AK279" s="442"/>
      <c r="AL279" s="442"/>
      <c r="AM279" s="442"/>
      <c r="AN279" s="443"/>
      <c r="AO279" s="728">
        <f>ROUND(AO278*AH279,2)</f>
        <v>2.13</v>
      </c>
      <c r="AP279" s="729"/>
      <c r="AQ279" s="729"/>
      <c r="AR279" s="730"/>
    </row>
    <row r="280" spans="1:44" ht="18" customHeight="1">
      <c r="A280" s="415" t="s">
        <v>657</v>
      </c>
      <c r="B280" s="415"/>
      <c r="C280" s="434"/>
      <c r="D280" s="434"/>
      <c r="E280" s="434"/>
      <c r="F280" s="434"/>
      <c r="G280" s="434"/>
      <c r="H280" s="434"/>
      <c r="I280" s="434"/>
      <c r="J280" s="434"/>
      <c r="K280" s="434"/>
      <c r="L280" s="434"/>
      <c r="M280" s="434"/>
      <c r="N280" s="434"/>
      <c r="O280" s="434"/>
      <c r="P280" s="434"/>
      <c r="Q280" s="434"/>
      <c r="R280" s="434"/>
      <c r="S280" s="434"/>
      <c r="T280" s="434"/>
      <c r="U280" s="434"/>
      <c r="V280" s="434"/>
      <c r="W280" s="434"/>
      <c r="X280" s="748"/>
      <c r="Y280" s="731" t="s">
        <v>98</v>
      </c>
      <c r="Z280" s="732"/>
      <c r="AA280" s="732"/>
      <c r="AB280" s="732"/>
      <c r="AC280" s="732"/>
      <c r="AD280" s="732"/>
      <c r="AE280" s="732"/>
      <c r="AF280" s="732"/>
      <c r="AG280" s="732"/>
      <c r="AH280" s="732"/>
      <c r="AI280" s="732"/>
      <c r="AJ280" s="732"/>
      <c r="AK280" s="732"/>
      <c r="AL280" s="732"/>
      <c r="AM280" s="732"/>
      <c r="AN280" s="733"/>
      <c r="AO280" s="734">
        <f>SUM(AO278:AR279)</f>
        <v>12.64</v>
      </c>
      <c r="AP280" s="735"/>
      <c r="AQ280" s="735"/>
      <c r="AR280" s="736"/>
    </row>
    <row r="282" spans="1:44" ht="18" customHeight="1">
      <c r="C282" s="420" t="s">
        <v>99</v>
      </c>
      <c r="D282" s="421"/>
      <c r="E282" s="421"/>
      <c r="F282" s="421"/>
      <c r="G282" s="421"/>
      <c r="H282" s="421"/>
      <c r="I282" s="422"/>
      <c r="J282" s="422"/>
      <c r="K282" s="422"/>
      <c r="L282" s="422"/>
      <c r="M282" s="422"/>
      <c r="N282" s="422"/>
      <c r="O282" s="422"/>
      <c r="P282" s="422"/>
      <c r="Q282" s="422"/>
      <c r="R282" s="422"/>
      <c r="S282" s="422"/>
      <c r="T282" s="422"/>
      <c r="U282" s="422"/>
      <c r="V282" s="422"/>
      <c r="W282" s="422"/>
      <c r="X282" s="422"/>
      <c r="Y282" s="422"/>
      <c r="Z282" s="422"/>
      <c r="AA282" s="422"/>
      <c r="AB282" s="422"/>
      <c r="AC282" s="422"/>
      <c r="AD282" s="422"/>
      <c r="AE282" s="422"/>
      <c r="AF282" s="422"/>
      <c r="AG282" s="422"/>
      <c r="AH282" s="422"/>
      <c r="AI282" s="422"/>
      <c r="AJ282" s="422"/>
      <c r="AK282" s="422"/>
      <c r="AL282" s="422"/>
      <c r="AM282" s="422"/>
      <c r="AN282" s="422"/>
      <c r="AO282" s="422"/>
      <c r="AP282" s="422"/>
      <c r="AQ282" s="422"/>
      <c r="AR282" s="423"/>
    </row>
    <row r="283" spans="1:44" ht="18" customHeight="1">
      <c r="C283" s="411"/>
      <c r="D283" s="412"/>
      <c r="E283" s="412"/>
      <c r="F283" s="412"/>
      <c r="G283" s="412"/>
      <c r="H283" s="412"/>
      <c r="I283" s="409"/>
      <c r="J283" s="409"/>
      <c r="K283" s="409"/>
      <c r="L283" s="409"/>
      <c r="M283" s="409"/>
      <c r="N283" s="409"/>
      <c r="O283" s="409"/>
      <c r="P283" s="409"/>
      <c r="Q283" s="409"/>
      <c r="R283" s="409"/>
      <c r="S283" s="409"/>
      <c r="T283" s="409"/>
      <c r="U283" s="409"/>
      <c r="V283" s="409"/>
      <c r="W283" s="409"/>
      <c r="X283" s="409"/>
      <c r="Y283" s="409"/>
      <c r="Z283" s="409"/>
      <c r="AA283" s="409"/>
      <c r="AB283" s="409"/>
      <c r="AC283" s="409"/>
      <c r="AD283" s="409"/>
      <c r="AE283" s="409"/>
      <c r="AF283" s="409"/>
      <c r="AG283" s="409"/>
      <c r="AH283" s="409"/>
      <c r="AI283" s="409"/>
      <c r="AJ283" s="409"/>
      <c r="AK283" s="409"/>
      <c r="AL283" s="409"/>
      <c r="AM283" s="409"/>
      <c r="AN283" s="409"/>
      <c r="AO283" s="409"/>
      <c r="AP283" s="409"/>
      <c r="AQ283" s="409"/>
      <c r="AR283" s="410"/>
    </row>
    <row r="284" spans="1:44" ht="18" customHeight="1">
      <c r="C284" s="411"/>
      <c r="D284" s="412"/>
      <c r="E284" s="412"/>
      <c r="F284" s="412"/>
      <c r="G284" s="412"/>
      <c r="H284" s="412"/>
      <c r="I284" s="409"/>
      <c r="J284" s="409"/>
      <c r="K284" s="409"/>
      <c r="L284" s="409"/>
      <c r="M284" s="409"/>
      <c r="N284" s="409"/>
      <c r="O284" s="409"/>
      <c r="P284" s="409"/>
      <c r="Q284" s="409"/>
      <c r="R284" s="409"/>
      <c r="S284" s="409"/>
      <c r="T284" s="409"/>
      <c r="U284" s="409"/>
      <c r="V284" s="409"/>
      <c r="W284" s="409"/>
      <c r="X284" s="409"/>
      <c r="Y284" s="409"/>
      <c r="Z284" s="409"/>
      <c r="AA284" s="409"/>
      <c r="AB284" s="409"/>
      <c r="AC284" s="409"/>
      <c r="AD284" s="409"/>
      <c r="AE284" s="409"/>
      <c r="AF284" s="409"/>
      <c r="AG284" s="409"/>
      <c r="AH284" s="409"/>
      <c r="AI284" s="409"/>
      <c r="AJ284" s="409"/>
      <c r="AK284" s="409"/>
      <c r="AL284" s="409"/>
      <c r="AM284" s="409"/>
      <c r="AN284" s="409"/>
      <c r="AO284" s="409"/>
      <c r="AP284" s="409"/>
      <c r="AQ284" s="409"/>
      <c r="AR284" s="410"/>
    </row>
    <row r="285" spans="1:44" ht="18" customHeight="1">
      <c r="C285" s="411"/>
      <c r="D285" s="412"/>
      <c r="E285" s="412"/>
      <c r="F285" s="412"/>
      <c r="G285" s="412"/>
      <c r="H285" s="412"/>
      <c r="I285" s="409"/>
      <c r="J285" s="409"/>
      <c r="K285" s="409"/>
      <c r="L285" s="409"/>
      <c r="M285" s="409"/>
      <c r="N285" s="409"/>
      <c r="O285" s="409"/>
      <c r="P285" s="409"/>
      <c r="Q285" s="409"/>
      <c r="R285" s="409"/>
      <c r="S285" s="409"/>
      <c r="T285" s="409"/>
      <c r="U285" s="409"/>
      <c r="V285" s="409"/>
      <c r="W285" s="409"/>
      <c r="X285" s="409"/>
      <c r="Y285" s="409"/>
      <c r="Z285" s="409"/>
      <c r="AA285" s="409"/>
      <c r="AB285" s="409"/>
      <c r="AC285" s="409"/>
      <c r="AD285" s="409"/>
      <c r="AE285" s="409"/>
      <c r="AF285" s="409"/>
      <c r="AG285" s="409"/>
      <c r="AH285" s="409"/>
      <c r="AI285" s="409"/>
      <c r="AJ285" s="409"/>
      <c r="AK285" s="409"/>
      <c r="AL285" s="409"/>
      <c r="AM285" s="409"/>
      <c r="AN285" s="409"/>
      <c r="AO285" s="409"/>
      <c r="AP285" s="409"/>
      <c r="AQ285" s="409"/>
      <c r="AR285" s="410"/>
    </row>
    <row r="286" spans="1:44" ht="18" customHeight="1">
      <c r="C286" s="411"/>
      <c r="D286" s="412"/>
      <c r="E286" s="412"/>
      <c r="F286" s="412"/>
      <c r="G286" s="412"/>
      <c r="H286" s="412"/>
      <c r="I286" s="409"/>
      <c r="J286" s="409"/>
      <c r="K286" s="409"/>
      <c r="L286" s="409"/>
      <c r="M286" s="409"/>
      <c r="N286" s="409"/>
      <c r="O286" s="409"/>
      <c r="P286" s="409"/>
      <c r="Q286" s="409"/>
      <c r="R286" s="409"/>
      <c r="S286" s="409"/>
      <c r="T286" s="409"/>
      <c r="U286" s="409"/>
      <c r="V286" s="409"/>
      <c r="W286" s="409"/>
      <c r="X286" s="409"/>
      <c r="Y286" s="409"/>
      <c r="Z286" s="409"/>
      <c r="AA286" s="409"/>
      <c r="AB286" s="409"/>
      <c r="AC286" s="409"/>
      <c r="AD286" s="409"/>
      <c r="AE286" s="409"/>
      <c r="AF286" s="409"/>
      <c r="AG286" s="409"/>
      <c r="AH286" s="409"/>
      <c r="AI286" s="409"/>
      <c r="AJ286" s="409"/>
      <c r="AK286" s="409"/>
      <c r="AL286" s="409"/>
      <c r="AM286" s="409"/>
      <c r="AN286" s="409"/>
      <c r="AO286" s="409"/>
      <c r="AP286" s="409"/>
      <c r="AQ286" s="409"/>
      <c r="AR286" s="410"/>
    </row>
    <row r="287" spans="1:44" ht="18" customHeight="1">
      <c r="C287" s="385"/>
      <c r="D287" s="386"/>
      <c r="E287" s="386"/>
      <c r="F287" s="386"/>
      <c r="G287" s="386"/>
      <c r="H287" s="386"/>
      <c r="I287" s="387"/>
      <c r="J287" s="387"/>
      <c r="K287" s="387"/>
      <c r="L287" s="387"/>
      <c r="M287" s="387"/>
      <c r="N287" s="387"/>
      <c r="O287" s="387"/>
      <c r="P287" s="387"/>
      <c r="Q287" s="387"/>
      <c r="R287" s="387"/>
      <c r="S287" s="387"/>
      <c r="T287" s="387"/>
      <c r="U287" s="387"/>
      <c r="V287" s="387"/>
      <c r="W287" s="387"/>
      <c r="X287" s="387"/>
      <c r="Y287" s="387"/>
      <c r="Z287" s="387"/>
      <c r="AA287" s="387"/>
      <c r="AB287" s="387"/>
      <c r="AC287" s="387"/>
      <c r="AD287" s="387"/>
      <c r="AE287" s="387"/>
      <c r="AF287" s="387"/>
      <c r="AG287" s="387"/>
      <c r="AH287" s="387"/>
      <c r="AI287" s="387"/>
      <c r="AJ287" s="387"/>
      <c r="AK287" s="387"/>
      <c r="AL287" s="387"/>
      <c r="AM287" s="387"/>
      <c r="AN287" s="387"/>
      <c r="AO287" s="387"/>
      <c r="AP287" s="387"/>
      <c r="AQ287" s="387"/>
      <c r="AR287" s="388"/>
    </row>
    <row r="289" spans="3:44" ht="18" customHeight="1">
      <c r="C289" s="389" t="s">
        <v>100</v>
      </c>
      <c r="D289" s="390"/>
      <c r="E289" s="390"/>
      <c r="F289" s="390"/>
      <c r="G289" s="390"/>
      <c r="H289" s="390"/>
      <c r="I289" s="390"/>
      <c r="J289" s="390"/>
      <c r="K289" s="390"/>
      <c r="L289" s="390"/>
      <c r="M289" s="390"/>
      <c r="N289" s="390"/>
      <c r="O289" s="390"/>
      <c r="P289" s="390"/>
      <c r="Q289" s="390"/>
      <c r="R289" s="390"/>
      <c r="S289" s="390"/>
      <c r="T289" s="390"/>
      <c r="U289" s="390"/>
      <c r="V289" s="390"/>
      <c r="W289" s="390"/>
      <c r="X289" s="390"/>
      <c r="Y289" s="390"/>
      <c r="Z289" s="390"/>
      <c r="AA289" s="391"/>
      <c r="AB289" s="392" t="str">
        <f>[4]C.UNIT.SERV.!$E$5</f>
        <v>DATA-BASE:      MAIO/2011/PR</v>
      </c>
      <c r="AC289" s="393"/>
      <c r="AD289" s="393"/>
      <c r="AE289" s="393"/>
      <c r="AF289" s="393"/>
      <c r="AG289" s="393"/>
      <c r="AH289" s="393"/>
      <c r="AI289" s="394"/>
      <c r="AJ289" s="392"/>
      <c r="AK289" s="393"/>
      <c r="AL289" s="393"/>
      <c r="AM289" s="393"/>
      <c r="AN289" s="393"/>
      <c r="AO289" s="393"/>
      <c r="AP289" s="393"/>
      <c r="AQ289" s="393"/>
      <c r="AR289" s="401"/>
    </row>
    <row r="290" spans="3:44" ht="18" customHeight="1">
      <c r="C290" s="404" t="s">
        <v>101</v>
      </c>
      <c r="D290" s="405"/>
      <c r="E290" s="405"/>
      <c r="F290" s="405"/>
      <c r="G290" s="405" t="s">
        <v>283</v>
      </c>
      <c r="H290" s="405"/>
      <c r="I290" s="405"/>
      <c r="J290" s="405"/>
      <c r="K290" s="405"/>
      <c r="L290" s="405"/>
      <c r="M290" s="405"/>
      <c r="N290" s="405"/>
      <c r="O290" s="405"/>
      <c r="P290" s="405"/>
      <c r="Q290" s="405"/>
      <c r="R290" s="405"/>
      <c r="S290" s="405"/>
      <c r="T290" s="405"/>
      <c r="U290" s="405"/>
      <c r="V290" s="405"/>
      <c r="W290" s="405"/>
      <c r="X290" s="405"/>
      <c r="Y290" s="405"/>
      <c r="Z290" s="405"/>
      <c r="AA290" s="406"/>
      <c r="AB290" s="395"/>
      <c r="AC290" s="396"/>
      <c r="AD290" s="396"/>
      <c r="AE290" s="396"/>
      <c r="AF290" s="396"/>
      <c r="AG290" s="396"/>
      <c r="AH290" s="396"/>
      <c r="AI290" s="397"/>
      <c r="AJ290" s="395"/>
      <c r="AK290" s="396"/>
      <c r="AL290" s="396"/>
      <c r="AM290" s="396"/>
      <c r="AN290" s="396"/>
      <c r="AO290" s="396"/>
      <c r="AP290" s="396"/>
      <c r="AQ290" s="396"/>
      <c r="AR290" s="402"/>
    </row>
    <row r="291" spans="3:44" ht="18" customHeight="1">
      <c r="C291" s="404" t="s">
        <v>102</v>
      </c>
      <c r="D291" s="405"/>
      <c r="E291" s="405"/>
      <c r="F291" s="405"/>
      <c r="G291" s="405"/>
      <c r="H291" s="405"/>
      <c r="I291" s="405"/>
      <c r="J291" s="405"/>
      <c r="K291" s="405"/>
      <c r="L291" s="405"/>
      <c r="M291" s="405"/>
      <c r="N291" s="405"/>
      <c r="O291" s="405"/>
      <c r="P291" s="405"/>
      <c r="Q291" s="405"/>
      <c r="R291" s="405"/>
      <c r="S291" s="405"/>
      <c r="T291" s="405"/>
      <c r="U291" s="405"/>
      <c r="V291" s="405"/>
      <c r="W291" s="405"/>
      <c r="X291" s="405"/>
      <c r="Y291" s="405"/>
      <c r="Z291" s="405"/>
      <c r="AA291" s="406"/>
      <c r="AB291" s="395"/>
      <c r="AC291" s="396"/>
      <c r="AD291" s="396"/>
      <c r="AE291" s="396"/>
      <c r="AF291" s="396"/>
      <c r="AG291" s="396"/>
      <c r="AH291" s="396"/>
      <c r="AI291" s="397"/>
      <c r="AJ291" s="395"/>
      <c r="AK291" s="396"/>
      <c r="AL291" s="396"/>
      <c r="AM291" s="396"/>
      <c r="AN291" s="396"/>
      <c r="AO291" s="396"/>
      <c r="AP291" s="396"/>
      <c r="AQ291" s="396"/>
      <c r="AR291" s="402"/>
    </row>
    <row r="292" spans="3:44" ht="18" customHeight="1">
      <c r="C292" s="407"/>
      <c r="D292" s="408"/>
      <c r="E292" s="408"/>
      <c r="F292" s="408"/>
      <c r="G292" s="408"/>
      <c r="H292" s="408"/>
      <c r="I292" s="408"/>
      <c r="J292" s="408"/>
      <c r="K292" s="408"/>
      <c r="L292" s="408"/>
      <c r="M292" s="408"/>
      <c r="N292" s="408"/>
      <c r="O292" s="408"/>
      <c r="P292" s="408"/>
      <c r="Q292" s="408"/>
      <c r="R292" s="408"/>
      <c r="S292" s="408"/>
      <c r="T292" s="408"/>
      <c r="U292" s="408"/>
      <c r="V292" s="408"/>
      <c r="W292" s="408"/>
      <c r="X292" s="408"/>
      <c r="Y292" s="408"/>
      <c r="Z292" s="408"/>
      <c r="AA292" s="408"/>
      <c r="AB292" s="398"/>
      <c r="AC292" s="399"/>
      <c r="AD292" s="399"/>
      <c r="AE292" s="399"/>
      <c r="AF292" s="399"/>
      <c r="AG292" s="399"/>
      <c r="AH292" s="399"/>
      <c r="AI292" s="400"/>
      <c r="AJ292" s="398"/>
      <c r="AK292" s="399"/>
      <c r="AL292" s="399"/>
      <c r="AM292" s="399"/>
      <c r="AN292" s="399"/>
      <c r="AO292" s="399"/>
      <c r="AP292" s="399"/>
      <c r="AQ292" s="399"/>
      <c r="AR292" s="403"/>
    </row>
    <row r="294" spans="3:44" ht="18" customHeight="1">
      <c r="C294" s="850" t="s">
        <v>64</v>
      </c>
      <c r="D294" s="851"/>
      <c r="E294" s="851"/>
      <c r="F294" s="851"/>
      <c r="G294" s="851"/>
      <c r="H294" s="851"/>
      <c r="I294" s="851"/>
      <c r="J294" s="851"/>
      <c r="K294" s="851"/>
      <c r="L294" s="851"/>
      <c r="M294" s="851"/>
      <c r="N294" s="851"/>
      <c r="O294" s="851"/>
      <c r="P294" s="851"/>
      <c r="Q294" s="851"/>
      <c r="R294" s="851"/>
      <c r="S294" s="851"/>
      <c r="T294" s="851"/>
      <c r="U294" s="851"/>
      <c r="V294" s="851"/>
      <c r="W294" s="851"/>
      <c r="X294" s="851"/>
      <c r="Y294" s="851"/>
      <c r="Z294" s="851"/>
      <c r="AA294" s="851"/>
      <c r="AB294" s="851"/>
      <c r="AC294" s="851"/>
      <c r="AD294" s="851"/>
      <c r="AE294" s="851"/>
      <c r="AF294" s="851"/>
      <c r="AG294" s="851"/>
      <c r="AH294" s="851"/>
      <c r="AI294" s="851"/>
      <c r="AJ294" s="851"/>
      <c r="AK294" s="851"/>
      <c r="AL294" s="851"/>
      <c r="AM294" s="851"/>
      <c r="AN294" s="851"/>
      <c r="AO294" s="851"/>
      <c r="AP294" s="851"/>
      <c r="AQ294" s="851"/>
      <c r="AR294" s="852"/>
    </row>
    <row r="295" spans="3:44" ht="18" customHeight="1">
      <c r="C295" s="853"/>
      <c r="D295" s="854"/>
      <c r="E295" s="854"/>
      <c r="F295" s="854"/>
      <c r="G295" s="854"/>
      <c r="H295" s="854"/>
      <c r="I295" s="854"/>
      <c r="J295" s="854"/>
      <c r="K295" s="854"/>
      <c r="L295" s="854"/>
      <c r="M295" s="854"/>
      <c r="N295" s="854"/>
      <c r="O295" s="854"/>
      <c r="P295" s="854"/>
      <c r="Q295" s="854"/>
      <c r="R295" s="854"/>
      <c r="S295" s="854"/>
      <c r="T295" s="854"/>
      <c r="U295" s="854"/>
      <c r="V295" s="854"/>
      <c r="W295" s="854"/>
      <c r="X295" s="854"/>
      <c r="Y295" s="854"/>
      <c r="Z295" s="854"/>
      <c r="AA295" s="854"/>
      <c r="AB295" s="854"/>
      <c r="AC295" s="854"/>
      <c r="AD295" s="854"/>
      <c r="AE295" s="854"/>
      <c r="AF295" s="854"/>
      <c r="AG295" s="854"/>
      <c r="AH295" s="854"/>
      <c r="AI295" s="854"/>
      <c r="AJ295" s="854"/>
      <c r="AK295" s="854"/>
      <c r="AL295" s="854"/>
      <c r="AM295" s="854"/>
      <c r="AN295" s="854"/>
      <c r="AO295" s="854"/>
      <c r="AP295" s="854"/>
      <c r="AQ295" s="854"/>
      <c r="AR295" s="855"/>
    </row>
    <row r="296" spans="3:44" ht="18" customHeight="1">
      <c r="C296" s="856" t="s">
        <v>65</v>
      </c>
      <c r="D296" s="857"/>
      <c r="E296" s="857"/>
      <c r="F296" s="857"/>
      <c r="G296" s="860" t="s">
        <v>659</v>
      </c>
      <c r="H296" s="860"/>
      <c r="I296" s="860"/>
      <c r="J296" s="861"/>
      <c r="K296" s="864" t="s">
        <v>66</v>
      </c>
      <c r="L296" s="865"/>
      <c r="M296" s="865"/>
      <c r="N296" s="865"/>
      <c r="O296" s="522" t="s">
        <v>703</v>
      </c>
      <c r="P296" s="523"/>
      <c r="Q296" s="523"/>
      <c r="R296" s="523"/>
      <c r="S296" s="523"/>
      <c r="T296" s="523"/>
      <c r="U296" s="523"/>
      <c r="V296" s="523"/>
      <c r="W296" s="523"/>
      <c r="X296" s="523"/>
      <c r="Y296" s="523"/>
      <c r="Z296" s="523"/>
      <c r="AA296" s="523"/>
      <c r="AB296" s="523"/>
      <c r="AC296" s="523"/>
      <c r="AD296" s="523"/>
      <c r="AE296" s="523"/>
      <c r="AF296" s="523"/>
      <c r="AG296" s="523"/>
      <c r="AH296" s="523"/>
      <c r="AI296" s="523"/>
      <c r="AJ296" s="523"/>
      <c r="AK296" s="523"/>
      <c r="AL296" s="864" t="s">
        <v>67</v>
      </c>
      <c r="AM296" s="865"/>
      <c r="AN296" s="865"/>
      <c r="AO296" s="865"/>
      <c r="AP296" s="843" t="s">
        <v>246</v>
      </c>
      <c r="AQ296" s="843"/>
      <c r="AR296" s="844"/>
    </row>
    <row r="297" spans="3:44" ht="18" customHeight="1">
      <c r="C297" s="858"/>
      <c r="D297" s="859"/>
      <c r="E297" s="859"/>
      <c r="F297" s="859"/>
      <c r="G297" s="862"/>
      <c r="H297" s="862"/>
      <c r="I297" s="862"/>
      <c r="J297" s="863"/>
      <c r="K297" s="866"/>
      <c r="L297" s="867"/>
      <c r="M297" s="867"/>
      <c r="N297" s="867"/>
      <c r="O297" s="524"/>
      <c r="P297" s="525"/>
      <c r="Q297" s="525"/>
      <c r="R297" s="525"/>
      <c r="S297" s="525"/>
      <c r="T297" s="525"/>
      <c r="U297" s="525"/>
      <c r="V297" s="525"/>
      <c r="W297" s="525"/>
      <c r="X297" s="525"/>
      <c r="Y297" s="525"/>
      <c r="Z297" s="525"/>
      <c r="AA297" s="525"/>
      <c r="AB297" s="525"/>
      <c r="AC297" s="525"/>
      <c r="AD297" s="525"/>
      <c r="AE297" s="525"/>
      <c r="AF297" s="525"/>
      <c r="AG297" s="525"/>
      <c r="AH297" s="525"/>
      <c r="AI297" s="525"/>
      <c r="AJ297" s="525"/>
      <c r="AK297" s="525"/>
      <c r="AL297" s="866"/>
      <c r="AM297" s="867"/>
      <c r="AN297" s="867"/>
      <c r="AO297" s="867"/>
      <c r="AP297" s="845"/>
      <c r="AQ297" s="845"/>
      <c r="AR297" s="846"/>
    </row>
    <row r="299" spans="3:44" ht="18" customHeight="1">
      <c r="C299" s="794" t="s">
        <v>43</v>
      </c>
      <c r="D299" s="774"/>
      <c r="E299" s="775"/>
      <c r="F299" s="773" t="s">
        <v>68</v>
      </c>
      <c r="G299" s="774"/>
      <c r="H299" s="774"/>
      <c r="I299" s="774"/>
      <c r="J299" s="774"/>
      <c r="K299" s="774"/>
      <c r="L299" s="774"/>
      <c r="M299" s="774"/>
      <c r="N299" s="774"/>
      <c r="O299" s="774"/>
      <c r="P299" s="774"/>
      <c r="Q299" s="774"/>
      <c r="R299" s="774"/>
      <c r="S299" s="774"/>
      <c r="T299" s="774"/>
      <c r="U299" s="775"/>
      <c r="V299" s="773" t="s">
        <v>249</v>
      </c>
      <c r="W299" s="774"/>
      <c r="X299" s="775"/>
      <c r="Y299" s="847" t="s">
        <v>69</v>
      </c>
      <c r="Z299" s="848"/>
      <c r="AA299" s="848"/>
      <c r="AB299" s="848"/>
      <c r="AC299" s="848"/>
      <c r="AD299" s="848"/>
      <c r="AE299" s="848"/>
      <c r="AF299" s="849"/>
      <c r="AG299" s="847" t="s">
        <v>70</v>
      </c>
      <c r="AH299" s="848"/>
      <c r="AI299" s="848"/>
      <c r="AJ299" s="848"/>
      <c r="AK299" s="848"/>
      <c r="AL299" s="848"/>
      <c r="AM299" s="848"/>
      <c r="AN299" s="849"/>
      <c r="AO299" s="773" t="s">
        <v>71</v>
      </c>
      <c r="AP299" s="774"/>
      <c r="AQ299" s="774"/>
      <c r="AR299" s="779"/>
    </row>
    <row r="300" spans="3:44" ht="18" customHeight="1">
      <c r="C300" s="795"/>
      <c r="D300" s="777"/>
      <c r="E300" s="778"/>
      <c r="F300" s="776"/>
      <c r="G300" s="777"/>
      <c r="H300" s="777"/>
      <c r="I300" s="777"/>
      <c r="J300" s="777"/>
      <c r="K300" s="777"/>
      <c r="L300" s="777"/>
      <c r="M300" s="777"/>
      <c r="N300" s="777"/>
      <c r="O300" s="777"/>
      <c r="P300" s="777"/>
      <c r="Q300" s="777"/>
      <c r="R300" s="777"/>
      <c r="S300" s="777"/>
      <c r="T300" s="777"/>
      <c r="U300" s="778"/>
      <c r="V300" s="776"/>
      <c r="W300" s="777"/>
      <c r="X300" s="778"/>
      <c r="Y300" s="834" t="s">
        <v>72</v>
      </c>
      <c r="Z300" s="835"/>
      <c r="AA300" s="835"/>
      <c r="AB300" s="836"/>
      <c r="AC300" s="834" t="s">
        <v>73</v>
      </c>
      <c r="AD300" s="835"/>
      <c r="AE300" s="835"/>
      <c r="AF300" s="836"/>
      <c r="AG300" s="834" t="s">
        <v>72</v>
      </c>
      <c r="AH300" s="835"/>
      <c r="AI300" s="835"/>
      <c r="AJ300" s="836"/>
      <c r="AK300" s="834" t="s">
        <v>73</v>
      </c>
      <c r="AL300" s="835"/>
      <c r="AM300" s="835"/>
      <c r="AN300" s="836"/>
      <c r="AO300" s="776"/>
      <c r="AP300" s="777"/>
      <c r="AQ300" s="777"/>
      <c r="AR300" s="780"/>
    </row>
    <row r="301" spans="3:44" ht="18" customHeight="1">
      <c r="C301" s="781" t="s">
        <v>1379</v>
      </c>
      <c r="D301" s="782"/>
      <c r="E301" s="783"/>
      <c r="F301" s="493" t="s">
        <v>468</v>
      </c>
      <c r="G301" s="493"/>
      <c r="H301" s="493"/>
      <c r="I301" s="493"/>
      <c r="J301" s="493"/>
      <c r="K301" s="493"/>
      <c r="L301" s="493"/>
      <c r="M301" s="493"/>
      <c r="N301" s="493"/>
      <c r="O301" s="493"/>
      <c r="P301" s="493"/>
      <c r="Q301" s="493"/>
      <c r="R301" s="493"/>
      <c r="S301" s="493"/>
      <c r="T301" s="493"/>
      <c r="U301" s="493"/>
      <c r="V301" s="837">
        <v>1</v>
      </c>
      <c r="W301" s="838"/>
      <c r="X301" s="839"/>
      <c r="Y301" s="837">
        <v>1</v>
      </c>
      <c r="Z301" s="838"/>
      <c r="AA301" s="838"/>
      <c r="AB301" s="839"/>
      <c r="AC301" s="868">
        <f>1-Y301</f>
        <v>0</v>
      </c>
      <c r="AD301" s="869"/>
      <c r="AE301" s="869"/>
      <c r="AF301" s="870"/>
      <c r="AG301" s="491">
        <f>VLOOKUP(C301,[4]EQUIPAMENTOS!A$1:D$65536,3,FALSE)</f>
        <v>3.1082000000000001</v>
      </c>
      <c r="AH301" s="491"/>
      <c r="AI301" s="491"/>
      <c r="AJ301" s="491"/>
      <c r="AK301" s="491">
        <f>VLOOKUP(C301,[4]EQUIPAMENTOS!A$1:D$65536,4,FALSE)</f>
        <v>0</v>
      </c>
      <c r="AL301" s="491"/>
      <c r="AM301" s="491"/>
      <c r="AN301" s="491"/>
      <c r="AO301" s="491">
        <f>ROUND((Y301*AG301+AC301*AK301)*V301,2)</f>
        <v>3.11</v>
      </c>
      <c r="AP301" s="491"/>
      <c r="AQ301" s="491"/>
      <c r="AR301" s="492"/>
    </row>
    <row r="302" spans="3:44" ht="18" customHeight="1">
      <c r="C302" s="758"/>
      <c r="D302" s="759"/>
      <c r="E302" s="760"/>
      <c r="F302" s="493"/>
      <c r="G302" s="493"/>
      <c r="H302" s="493"/>
      <c r="I302" s="493"/>
      <c r="J302" s="493"/>
      <c r="K302" s="493"/>
      <c r="L302" s="493"/>
      <c r="M302" s="493"/>
      <c r="N302" s="493"/>
      <c r="O302" s="493"/>
      <c r="P302" s="493"/>
      <c r="Q302" s="493"/>
      <c r="R302" s="493"/>
      <c r="S302" s="493"/>
      <c r="T302" s="493"/>
      <c r="U302" s="493"/>
      <c r="V302" s="466"/>
      <c r="W302" s="467"/>
      <c r="X302" s="468"/>
      <c r="Y302" s="466"/>
      <c r="Z302" s="467"/>
      <c r="AA302" s="467"/>
      <c r="AB302" s="468"/>
      <c r="AC302" s="828"/>
      <c r="AD302" s="829"/>
      <c r="AE302" s="829"/>
      <c r="AF302" s="830"/>
      <c r="AG302" s="491"/>
      <c r="AH302" s="491"/>
      <c r="AI302" s="491"/>
      <c r="AJ302" s="491"/>
      <c r="AK302" s="491"/>
      <c r="AL302" s="491"/>
      <c r="AM302" s="491"/>
      <c r="AN302" s="491"/>
      <c r="AO302" s="491"/>
      <c r="AP302" s="491"/>
      <c r="AQ302" s="491"/>
      <c r="AR302" s="492"/>
    </row>
    <row r="303" spans="3:44" ht="18" customHeight="1">
      <c r="C303" s="758"/>
      <c r="D303" s="759"/>
      <c r="E303" s="760"/>
      <c r="F303" s="493"/>
      <c r="G303" s="493"/>
      <c r="H303" s="493"/>
      <c r="I303" s="493"/>
      <c r="J303" s="493"/>
      <c r="K303" s="493"/>
      <c r="L303" s="493"/>
      <c r="M303" s="493"/>
      <c r="N303" s="493"/>
      <c r="O303" s="493"/>
      <c r="P303" s="493"/>
      <c r="Q303" s="493"/>
      <c r="R303" s="493"/>
      <c r="S303" s="493"/>
      <c r="T303" s="493"/>
      <c r="U303" s="493"/>
      <c r="V303" s="466"/>
      <c r="W303" s="467"/>
      <c r="X303" s="468"/>
      <c r="Y303" s="466"/>
      <c r="Z303" s="467"/>
      <c r="AA303" s="467"/>
      <c r="AB303" s="468"/>
      <c r="AC303" s="828"/>
      <c r="AD303" s="829"/>
      <c r="AE303" s="829"/>
      <c r="AF303" s="830"/>
      <c r="AG303" s="491"/>
      <c r="AH303" s="491"/>
      <c r="AI303" s="491"/>
      <c r="AJ303" s="491"/>
      <c r="AK303" s="491"/>
      <c r="AL303" s="491"/>
      <c r="AM303" s="491"/>
      <c r="AN303" s="491"/>
      <c r="AO303" s="491"/>
      <c r="AP303" s="491"/>
      <c r="AQ303" s="491"/>
      <c r="AR303" s="492"/>
    </row>
    <row r="304" spans="3:44" ht="18" customHeight="1">
      <c r="C304" s="758"/>
      <c r="D304" s="759"/>
      <c r="E304" s="760"/>
      <c r="F304" s="493"/>
      <c r="G304" s="493"/>
      <c r="H304" s="493"/>
      <c r="I304" s="493"/>
      <c r="J304" s="493"/>
      <c r="K304" s="493"/>
      <c r="L304" s="493"/>
      <c r="M304" s="493"/>
      <c r="N304" s="493"/>
      <c r="O304" s="493"/>
      <c r="P304" s="493"/>
      <c r="Q304" s="493"/>
      <c r="R304" s="493"/>
      <c r="S304" s="493"/>
      <c r="T304" s="493"/>
      <c r="U304" s="493"/>
      <c r="V304" s="466"/>
      <c r="W304" s="467"/>
      <c r="X304" s="468"/>
      <c r="Y304" s="466"/>
      <c r="Z304" s="467"/>
      <c r="AA304" s="467"/>
      <c r="AB304" s="468"/>
      <c r="AC304" s="828"/>
      <c r="AD304" s="829"/>
      <c r="AE304" s="829"/>
      <c r="AF304" s="830"/>
      <c r="AG304" s="491"/>
      <c r="AH304" s="491"/>
      <c r="AI304" s="491"/>
      <c r="AJ304" s="491"/>
      <c r="AK304" s="491"/>
      <c r="AL304" s="491"/>
      <c r="AM304" s="491"/>
      <c r="AN304" s="491"/>
      <c r="AO304" s="491"/>
      <c r="AP304" s="491"/>
      <c r="AQ304" s="491"/>
      <c r="AR304" s="492"/>
    </row>
    <row r="305" spans="3:44" ht="18" customHeight="1">
      <c r="C305" s="758"/>
      <c r="D305" s="759"/>
      <c r="E305" s="760"/>
      <c r="F305" s="493"/>
      <c r="G305" s="493"/>
      <c r="H305" s="493"/>
      <c r="I305" s="493"/>
      <c r="J305" s="493"/>
      <c r="K305" s="493"/>
      <c r="L305" s="493"/>
      <c r="M305" s="493"/>
      <c r="N305" s="493"/>
      <c r="O305" s="493"/>
      <c r="P305" s="493"/>
      <c r="Q305" s="493"/>
      <c r="R305" s="493"/>
      <c r="S305" s="493"/>
      <c r="T305" s="493"/>
      <c r="U305" s="493"/>
      <c r="V305" s="466"/>
      <c r="W305" s="467"/>
      <c r="X305" s="468"/>
      <c r="Y305" s="466"/>
      <c r="Z305" s="467"/>
      <c r="AA305" s="467"/>
      <c r="AB305" s="468"/>
      <c r="AC305" s="828"/>
      <c r="AD305" s="829"/>
      <c r="AE305" s="829"/>
      <c r="AF305" s="830"/>
      <c r="AG305" s="491"/>
      <c r="AH305" s="491"/>
      <c r="AI305" s="491"/>
      <c r="AJ305" s="491"/>
      <c r="AK305" s="491"/>
      <c r="AL305" s="491"/>
      <c r="AM305" s="491"/>
      <c r="AN305" s="491"/>
      <c r="AO305" s="491"/>
      <c r="AP305" s="491"/>
      <c r="AQ305" s="491"/>
      <c r="AR305" s="492"/>
    </row>
    <row r="306" spans="3:44" ht="18" customHeight="1">
      <c r="C306" s="758"/>
      <c r="D306" s="759"/>
      <c r="E306" s="760"/>
      <c r="F306" s="493"/>
      <c r="G306" s="493"/>
      <c r="H306" s="493"/>
      <c r="I306" s="493"/>
      <c r="J306" s="493"/>
      <c r="K306" s="493"/>
      <c r="L306" s="493"/>
      <c r="M306" s="493"/>
      <c r="N306" s="493"/>
      <c r="O306" s="493"/>
      <c r="P306" s="493"/>
      <c r="Q306" s="493"/>
      <c r="R306" s="493"/>
      <c r="S306" s="493"/>
      <c r="T306" s="493"/>
      <c r="U306" s="493"/>
      <c r="V306" s="466"/>
      <c r="W306" s="467"/>
      <c r="X306" s="468"/>
      <c r="Y306" s="466"/>
      <c r="Z306" s="467"/>
      <c r="AA306" s="467"/>
      <c r="AB306" s="468"/>
      <c r="AC306" s="828"/>
      <c r="AD306" s="829"/>
      <c r="AE306" s="829"/>
      <c r="AF306" s="830"/>
      <c r="AG306" s="491"/>
      <c r="AH306" s="491"/>
      <c r="AI306" s="491"/>
      <c r="AJ306" s="491"/>
      <c r="AK306" s="491"/>
      <c r="AL306" s="491"/>
      <c r="AM306" s="491"/>
      <c r="AN306" s="491"/>
      <c r="AO306" s="491"/>
      <c r="AP306" s="491"/>
      <c r="AQ306" s="491"/>
      <c r="AR306" s="492"/>
    </row>
    <row r="307" spans="3:44" ht="18" customHeight="1">
      <c r="C307" s="758"/>
      <c r="D307" s="759"/>
      <c r="E307" s="760"/>
      <c r="F307" s="796"/>
      <c r="G307" s="797"/>
      <c r="H307" s="797"/>
      <c r="I307" s="797"/>
      <c r="J307" s="797"/>
      <c r="K307" s="797"/>
      <c r="L307" s="797"/>
      <c r="M307" s="797"/>
      <c r="N307" s="797"/>
      <c r="O307" s="797"/>
      <c r="P307" s="797"/>
      <c r="Q307" s="797"/>
      <c r="R307" s="797"/>
      <c r="S307" s="797"/>
      <c r="T307" s="797"/>
      <c r="U307" s="798"/>
      <c r="V307" s="466"/>
      <c r="W307" s="467"/>
      <c r="X307" s="468"/>
      <c r="Y307" s="466"/>
      <c r="Z307" s="467"/>
      <c r="AA307" s="467"/>
      <c r="AB307" s="468"/>
      <c r="AC307" s="828"/>
      <c r="AD307" s="829"/>
      <c r="AE307" s="829"/>
      <c r="AF307" s="830"/>
      <c r="AG307" s="466"/>
      <c r="AH307" s="467"/>
      <c r="AI307" s="467"/>
      <c r="AJ307" s="468"/>
      <c r="AK307" s="466"/>
      <c r="AL307" s="467"/>
      <c r="AM307" s="467"/>
      <c r="AN307" s="468"/>
      <c r="AO307" s="466"/>
      <c r="AP307" s="467"/>
      <c r="AQ307" s="467"/>
      <c r="AR307" s="823"/>
    </row>
    <row r="308" spans="3:44" ht="18" customHeight="1">
      <c r="C308" s="758"/>
      <c r="D308" s="759"/>
      <c r="E308" s="760"/>
      <c r="F308" s="796"/>
      <c r="G308" s="797"/>
      <c r="H308" s="797"/>
      <c r="I308" s="797"/>
      <c r="J308" s="797"/>
      <c r="K308" s="797"/>
      <c r="L308" s="797"/>
      <c r="M308" s="797"/>
      <c r="N308" s="797"/>
      <c r="O308" s="797"/>
      <c r="P308" s="797"/>
      <c r="Q308" s="797"/>
      <c r="R308" s="797"/>
      <c r="S308" s="797"/>
      <c r="T308" s="797"/>
      <c r="U308" s="798"/>
      <c r="V308" s="466"/>
      <c r="W308" s="467"/>
      <c r="X308" s="468"/>
      <c r="Y308" s="466"/>
      <c r="Z308" s="467"/>
      <c r="AA308" s="467"/>
      <c r="AB308" s="468"/>
      <c r="AC308" s="828"/>
      <c r="AD308" s="829"/>
      <c r="AE308" s="829"/>
      <c r="AF308" s="830"/>
      <c r="AG308" s="466"/>
      <c r="AH308" s="467"/>
      <c r="AI308" s="467"/>
      <c r="AJ308" s="468"/>
      <c r="AK308" s="466"/>
      <c r="AL308" s="467"/>
      <c r="AM308" s="467"/>
      <c r="AN308" s="468"/>
      <c r="AO308" s="466"/>
      <c r="AP308" s="467"/>
      <c r="AQ308" s="467"/>
      <c r="AR308" s="823"/>
    </row>
    <row r="309" spans="3:44" ht="18" customHeight="1">
      <c r="C309" s="743"/>
      <c r="D309" s="744"/>
      <c r="E309" s="744"/>
      <c r="F309" s="744"/>
      <c r="G309" s="744"/>
      <c r="H309" s="744"/>
      <c r="I309" s="744"/>
      <c r="J309" s="744"/>
      <c r="K309" s="744"/>
      <c r="L309" s="744"/>
      <c r="M309" s="744"/>
      <c r="N309" s="744"/>
      <c r="O309" s="744"/>
      <c r="P309" s="744"/>
      <c r="Q309" s="744"/>
      <c r="R309" s="744"/>
      <c r="S309" s="744"/>
      <c r="T309" s="744"/>
      <c r="U309" s="744"/>
      <c r="V309" s="744"/>
      <c r="W309" s="744"/>
      <c r="X309" s="824"/>
      <c r="Y309" s="825" t="s">
        <v>74</v>
      </c>
      <c r="Z309" s="826"/>
      <c r="AA309" s="826"/>
      <c r="AB309" s="826"/>
      <c r="AC309" s="826"/>
      <c r="AD309" s="826"/>
      <c r="AE309" s="826"/>
      <c r="AF309" s="826"/>
      <c r="AG309" s="826"/>
      <c r="AH309" s="826"/>
      <c r="AI309" s="826"/>
      <c r="AJ309" s="826"/>
      <c r="AK309" s="826"/>
      <c r="AL309" s="826"/>
      <c r="AM309" s="826"/>
      <c r="AN309" s="827"/>
      <c r="AO309" s="477">
        <f>SUM(AO301:AR308)</f>
        <v>3.11</v>
      </c>
      <c r="AP309" s="746"/>
      <c r="AQ309" s="746"/>
      <c r="AR309" s="747"/>
    </row>
    <row r="311" spans="3:44" ht="18" customHeight="1">
      <c r="C311" s="794" t="s">
        <v>43</v>
      </c>
      <c r="D311" s="774"/>
      <c r="E311" s="775"/>
      <c r="F311" s="773" t="s">
        <v>75</v>
      </c>
      <c r="G311" s="774"/>
      <c r="H311" s="774"/>
      <c r="I311" s="774"/>
      <c r="J311" s="774"/>
      <c r="K311" s="774"/>
      <c r="L311" s="774"/>
      <c r="M311" s="774"/>
      <c r="N311" s="774"/>
      <c r="O311" s="774"/>
      <c r="P311" s="774"/>
      <c r="Q311" s="774"/>
      <c r="R311" s="774"/>
      <c r="S311" s="774"/>
      <c r="T311" s="774"/>
      <c r="U311" s="774"/>
      <c r="V311" s="774"/>
      <c r="W311" s="774"/>
      <c r="X311" s="774"/>
      <c r="Y311" s="774"/>
      <c r="Z311" s="774"/>
      <c r="AA311" s="774"/>
      <c r="AB311" s="775"/>
      <c r="AC311" s="773" t="s">
        <v>76</v>
      </c>
      <c r="AD311" s="774"/>
      <c r="AE311" s="774"/>
      <c r="AF311" s="775"/>
      <c r="AG311" s="773" t="s">
        <v>249</v>
      </c>
      <c r="AH311" s="774"/>
      <c r="AI311" s="774"/>
      <c r="AJ311" s="775"/>
      <c r="AK311" s="773" t="s">
        <v>77</v>
      </c>
      <c r="AL311" s="774"/>
      <c r="AM311" s="774"/>
      <c r="AN311" s="775"/>
      <c r="AO311" s="773" t="s">
        <v>71</v>
      </c>
      <c r="AP311" s="774"/>
      <c r="AQ311" s="774"/>
      <c r="AR311" s="779"/>
    </row>
    <row r="312" spans="3:44" ht="18" customHeight="1">
      <c r="C312" s="795"/>
      <c r="D312" s="777"/>
      <c r="E312" s="778"/>
      <c r="F312" s="776"/>
      <c r="G312" s="777"/>
      <c r="H312" s="777"/>
      <c r="I312" s="777"/>
      <c r="J312" s="777"/>
      <c r="K312" s="777"/>
      <c r="L312" s="777"/>
      <c r="M312" s="777"/>
      <c r="N312" s="777"/>
      <c r="O312" s="777"/>
      <c r="P312" s="777"/>
      <c r="Q312" s="777"/>
      <c r="R312" s="777"/>
      <c r="S312" s="777"/>
      <c r="T312" s="777"/>
      <c r="U312" s="777"/>
      <c r="V312" s="777"/>
      <c r="W312" s="777"/>
      <c r="X312" s="777"/>
      <c r="Y312" s="777"/>
      <c r="Z312" s="777"/>
      <c r="AA312" s="777"/>
      <c r="AB312" s="778"/>
      <c r="AC312" s="776"/>
      <c r="AD312" s="777"/>
      <c r="AE312" s="777"/>
      <c r="AF312" s="778"/>
      <c r="AG312" s="776"/>
      <c r="AH312" s="777"/>
      <c r="AI312" s="777"/>
      <c r="AJ312" s="778"/>
      <c r="AK312" s="776"/>
      <c r="AL312" s="777"/>
      <c r="AM312" s="777"/>
      <c r="AN312" s="778"/>
      <c r="AO312" s="776"/>
      <c r="AP312" s="777"/>
      <c r="AQ312" s="777"/>
      <c r="AR312" s="780"/>
    </row>
    <row r="313" spans="3:44" ht="18" customHeight="1">
      <c r="C313" s="781" t="s">
        <v>940</v>
      </c>
      <c r="D313" s="782"/>
      <c r="E313" s="783"/>
      <c r="F313" s="493" t="s">
        <v>105</v>
      </c>
      <c r="G313" s="493"/>
      <c r="H313" s="493"/>
      <c r="I313" s="493"/>
      <c r="J313" s="493"/>
      <c r="K313" s="493"/>
      <c r="L313" s="493"/>
      <c r="M313" s="493"/>
      <c r="N313" s="493"/>
      <c r="O313" s="493"/>
      <c r="P313" s="493"/>
      <c r="Q313" s="493"/>
      <c r="R313" s="493"/>
      <c r="S313" s="493"/>
      <c r="T313" s="493"/>
      <c r="U313" s="493"/>
      <c r="V313" s="493"/>
      <c r="W313" s="493"/>
      <c r="X313" s="493"/>
      <c r="Y313" s="493"/>
      <c r="Z313" s="493"/>
      <c r="AA313" s="493"/>
      <c r="AB313" s="493"/>
      <c r="AC313" s="770"/>
      <c r="AD313" s="771"/>
      <c r="AE313" s="771"/>
      <c r="AF313" s="790"/>
      <c r="AG313" s="770">
        <v>1</v>
      </c>
      <c r="AH313" s="771"/>
      <c r="AI313" s="771"/>
      <c r="AJ313" s="790"/>
      <c r="AK313" s="449">
        <f>VLOOKUP(C313,[4]MÃODEOBRA!A$1:D$65536,4,FALSE)</f>
        <v>22.98488</v>
      </c>
      <c r="AL313" s="449"/>
      <c r="AM313" s="449"/>
      <c r="AN313" s="449"/>
      <c r="AO313" s="491">
        <f>ROUND(AG313*AK313,2)</f>
        <v>22.98</v>
      </c>
      <c r="AP313" s="491"/>
      <c r="AQ313" s="491"/>
      <c r="AR313" s="492"/>
    </row>
    <row r="314" spans="3:44" ht="18" customHeight="1">
      <c r="C314" s="758" t="s">
        <v>1380</v>
      </c>
      <c r="D314" s="759"/>
      <c r="E314" s="760"/>
      <c r="F314" s="493" t="s">
        <v>469</v>
      </c>
      <c r="G314" s="493"/>
      <c r="H314" s="493"/>
      <c r="I314" s="493"/>
      <c r="J314" s="493"/>
      <c r="K314" s="493"/>
      <c r="L314" s="493"/>
      <c r="M314" s="493"/>
      <c r="N314" s="493"/>
      <c r="O314" s="493"/>
      <c r="P314" s="493"/>
      <c r="Q314" s="493"/>
      <c r="R314" s="493"/>
      <c r="S314" s="493"/>
      <c r="T314" s="493"/>
      <c r="U314" s="493"/>
      <c r="V314" s="493"/>
      <c r="W314" s="493"/>
      <c r="X314" s="493"/>
      <c r="Y314" s="493"/>
      <c r="Z314" s="493"/>
      <c r="AA314" s="493"/>
      <c r="AB314" s="493"/>
      <c r="AC314" s="740"/>
      <c r="AD314" s="741"/>
      <c r="AE314" s="741"/>
      <c r="AF314" s="757"/>
      <c r="AG314" s="740">
        <v>1</v>
      </c>
      <c r="AH314" s="741"/>
      <c r="AI314" s="741"/>
      <c r="AJ314" s="757"/>
      <c r="AK314" s="449">
        <f>VLOOKUP(C314,[4]MÃODEOBRA!A$1:D$65536,4,FALSE)</f>
        <v>11.156079999999999</v>
      </c>
      <c r="AL314" s="449"/>
      <c r="AM314" s="449"/>
      <c r="AN314" s="449"/>
      <c r="AO314" s="491">
        <f>ROUND(AG314*AK314,2)</f>
        <v>11.16</v>
      </c>
      <c r="AP314" s="491"/>
      <c r="AQ314" s="491"/>
      <c r="AR314" s="492"/>
    </row>
    <row r="315" spans="3:44" ht="18" customHeight="1">
      <c r="C315" s="758" t="s">
        <v>943</v>
      </c>
      <c r="D315" s="759"/>
      <c r="E315" s="760"/>
      <c r="F315" s="796" t="s">
        <v>128</v>
      </c>
      <c r="G315" s="797"/>
      <c r="H315" s="797"/>
      <c r="I315" s="797"/>
      <c r="J315" s="797"/>
      <c r="K315" s="797"/>
      <c r="L315" s="797"/>
      <c r="M315" s="797"/>
      <c r="N315" s="797"/>
      <c r="O315" s="797"/>
      <c r="P315" s="797"/>
      <c r="Q315" s="797"/>
      <c r="R315" s="797"/>
      <c r="S315" s="797"/>
      <c r="T315" s="797"/>
      <c r="U315" s="797"/>
      <c r="V315" s="797"/>
      <c r="W315" s="797"/>
      <c r="X315" s="797"/>
      <c r="Y315" s="797"/>
      <c r="Z315" s="797"/>
      <c r="AA315" s="797"/>
      <c r="AB315" s="798"/>
      <c r="AC315" s="740"/>
      <c r="AD315" s="741"/>
      <c r="AE315" s="741"/>
      <c r="AF315" s="757"/>
      <c r="AG315" s="740">
        <v>2</v>
      </c>
      <c r="AH315" s="741"/>
      <c r="AI315" s="741"/>
      <c r="AJ315" s="757"/>
      <c r="AK315" s="449">
        <f>VLOOKUP(C315,[4]MÃODEOBRA!A$1:D$65536,4,FALSE)</f>
        <v>8.6333500000000001</v>
      </c>
      <c r="AL315" s="449"/>
      <c r="AM315" s="449"/>
      <c r="AN315" s="449"/>
      <c r="AO315" s="491">
        <f>ROUND(AG315*AK315,2)</f>
        <v>17.27</v>
      </c>
      <c r="AP315" s="491"/>
      <c r="AQ315" s="491"/>
      <c r="AR315" s="492"/>
    </row>
    <row r="316" spans="3:44" ht="18" customHeight="1">
      <c r="C316" s="758"/>
      <c r="D316" s="759"/>
      <c r="E316" s="760"/>
      <c r="F316" s="796"/>
      <c r="G316" s="797"/>
      <c r="H316" s="797"/>
      <c r="I316" s="797"/>
      <c r="J316" s="797"/>
      <c r="K316" s="797"/>
      <c r="L316" s="797"/>
      <c r="M316" s="797"/>
      <c r="N316" s="797"/>
      <c r="O316" s="797"/>
      <c r="P316" s="797"/>
      <c r="Q316" s="797"/>
      <c r="R316" s="797"/>
      <c r="S316" s="797"/>
      <c r="T316" s="797"/>
      <c r="U316" s="797"/>
      <c r="V316" s="797"/>
      <c r="W316" s="797"/>
      <c r="X316" s="797"/>
      <c r="Y316" s="797"/>
      <c r="Z316" s="797"/>
      <c r="AA316" s="797"/>
      <c r="AB316" s="798"/>
      <c r="AC316" s="740"/>
      <c r="AD316" s="741"/>
      <c r="AE316" s="741"/>
      <c r="AF316" s="757"/>
      <c r="AG316" s="740"/>
      <c r="AH316" s="741"/>
      <c r="AI316" s="741"/>
      <c r="AJ316" s="757"/>
      <c r="AK316" s="740"/>
      <c r="AL316" s="741"/>
      <c r="AM316" s="741"/>
      <c r="AN316" s="757"/>
      <c r="AO316" s="466"/>
      <c r="AP316" s="467"/>
      <c r="AQ316" s="467"/>
      <c r="AR316" s="823"/>
    </row>
    <row r="317" spans="3:44" ht="18" customHeight="1">
      <c r="C317" s="758"/>
      <c r="D317" s="759"/>
      <c r="E317" s="760"/>
      <c r="F317" s="796"/>
      <c r="G317" s="797"/>
      <c r="H317" s="797"/>
      <c r="I317" s="797"/>
      <c r="J317" s="797"/>
      <c r="K317" s="797"/>
      <c r="L317" s="797"/>
      <c r="M317" s="797"/>
      <c r="N317" s="797"/>
      <c r="O317" s="797"/>
      <c r="P317" s="797"/>
      <c r="Q317" s="797"/>
      <c r="R317" s="797"/>
      <c r="S317" s="797"/>
      <c r="T317" s="797"/>
      <c r="U317" s="797"/>
      <c r="V317" s="797"/>
      <c r="W317" s="797"/>
      <c r="X317" s="797"/>
      <c r="Y317" s="797"/>
      <c r="Z317" s="797"/>
      <c r="AA317" s="797"/>
      <c r="AB317" s="798"/>
      <c r="AC317" s="740"/>
      <c r="AD317" s="741"/>
      <c r="AE317" s="741"/>
      <c r="AF317" s="757"/>
      <c r="AG317" s="740"/>
      <c r="AH317" s="741"/>
      <c r="AI317" s="741"/>
      <c r="AJ317" s="757"/>
      <c r="AK317" s="740"/>
      <c r="AL317" s="741"/>
      <c r="AM317" s="741"/>
      <c r="AN317" s="757"/>
      <c r="AO317" s="466"/>
      <c r="AP317" s="467"/>
      <c r="AQ317" s="467"/>
      <c r="AR317" s="823"/>
    </row>
    <row r="318" spans="3:44" ht="18" customHeight="1">
      <c r="C318" s="758"/>
      <c r="D318" s="759"/>
      <c r="E318" s="760"/>
      <c r="F318" s="796"/>
      <c r="G318" s="797"/>
      <c r="H318" s="797"/>
      <c r="I318" s="797"/>
      <c r="J318" s="797"/>
      <c r="K318" s="797"/>
      <c r="L318" s="797"/>
      <c r="M318" s="797"/>
      <c r="N318" s="797"/>
      <c r="O318" s="797"/>
      <c r="P318" s="797"/>
      <c r="Q318" s="797"/>
      <c r="R318" s="797"/>
      <c r="S318" s="797"/>
      <c r="T318" s="797"/>
      <c r="U318" s="797"/>
      <c r="V318" s="797"/>
      <c r="W318" s="797"/>
      <c r="X318" s="797"/>
      <c r="Y318" s="797"/>
      <c r="Z318" s="797"/>
      <c r="AA318" s="797"/>
      <c r="AB318" s="798"/>
      <c r="AC318" s="740"/>
      <c r="AD318" s="741"/>
      <c r="AE318" s="741"/>
      <c r="AF318" s="757"/>
      <c r="AG318" s="740"/>
      <c r="AH318" s="741"/>
      <c r="AI318" s="741"/>
      <c r="AJ318" s="757"/>
      <c r="AK318" s="740"/>
      <c r="AL318" s="741"/>
      <c r="AM318" s="741"/>
      <c r="AN318" s="757"/>
      <c r="AO318" s="466"/>
      <c r="AP318" s="467"/>
      <c r="AQ318" s="467"/>
      <c r="AR318" s="823"/>
    </row>
    <row r="319" spans="3:44" ht="18" customHeight="1">
      <c r="C319" s="758"/>
      <c r="D319" s="759"/>
      <c r="E319" s="760"/>
      <c r="F319" s="796"/>
      <c r="G319" s="797"/>
      <c r="H319" s="797"/>
      <c r="I319" s="797"/>
      <c r="J319" s="797"/>
      <c r="K319" s="797"/>
      <c r="L319" s="797"/>
      <c r="M319" s="797"/>
      <c r="N319" s="797"/>
      <c r="O319" s="797"/>
      <c r="P319" s="797"/>
      <c r="Q319" s="797"/>
      <c r="R319" s="797"/>
      <c r="S319" s="797"/>
      <c r="T319" s="797"/>
      <c r="U319" s="797"/>
      <c r="V319" s="797"/>
      <c r="W319" s="797"/>
      <c r="X319" s="797"/>
      <c r="Y319" s="797"/>
      <c r="Z319" s="797"/>
      <c r="AA319" s="797"/>
      <c r="AB319" s="798"/>
      <c r="AC319" s="740"/>
      <c r="AD319" s="741"/>
      <c r="AE319" s="741"/>
      <c r="AF319" s="757"/>
      <c r="AG319" s="740"/>
      <c r="AH319" s="741"/>
      <c r="AI319" s="741"/>
      <c r="AJ319" s="757"/>
      <c r="AK319" s="740"/>
      <c r="AL319" s="741"/>
      <c r="AM319" s="741"/>
      <c r="AN319" s="757"/>
      <c r="AO319" s="466"/>
      <c r="AP319" s="467"/>
      <c r="AQ319" s="467"/>
      <c r="AR319" s="823"/>
    </row>
    <row r="320" spans="3:44" ht="18" customHeight="1">
      <c r="C320" s="758"/>
      <c r="D320" s="759"/>
      <c r="E320" s="760"/>
      <c r="F320" s="796"/>
      <c r="G320" s="797"/>
      <c r="H320" s="797"/>
      <c r="I320" s="797"/>
      <c r="J320" s="797"/>
      <c r="K320" s="797"/>
      <c r="L320" s="797"/>
      <c r="M320" s="797"/>
      <c r="N320" s="797"/>
      <c r="O320" s="797"/>
      <c r="P320" s="797"/>
      <c r="Q320" s="797"/>
      <c r="R320" s="797"/>
      <c r="S320" s="797"/>
      <c r="T320" s="797"/>
      <c r="U320" s="797"/>
      <c r="V320" s="797"/>
      <c r="W320" s="797"/>
      <c r="X320" s="797"/>
      <c r="Y320" s="797"/>
      <c r="Z320" s="797"/>
      <c r="AA320" s="797"/>
      <c r="AB320" s="798"/>
      <c r="AC320" s="740"/>
      <c r="AD320" s="741"/>
      <c r="AE320" s="741"/>
      <c r="AF320" s="757"/>
      <c r="AG320" s="740"/>
      <c r="AH320" s="741"/>
      <c r="AI320" s="741"/>
      <c r="AJ320" s="757"/>
      <c r="AK320" s="740"/>
      <c r="AL320" s="741"/>
      <c r="AM320" s="741"/>
      <c r="AN320" s="757"/>
      <c r="AO320" s="466"/>
      <c r="AP320" s="467"/>
      <c r="AQ320" s="467"/>
      <c r="AR320" s="823"/>
    </row>
    <row r="321" spans="3:44" ht="18" customHeight="1">
      <c r="C321" s="814"/>
      <c r="D321" s="815"/>
      <c r="E321" s="815"/>
      <c r="F321" s="815"/>
      <c r="G321" s="815"/>
      <c r="H321" s="815"/>
      <c r="I321" s="815"/>
      <c r="J321" s="815"/>
      <c r="K321" s="815"/>
      <c r="L321" s="815"/>
      <c r="M321" s="815"/>
      <c r="N321" s="815"/>
      <c r="O321" s="815"/>
      <c r="P321" s="815"/>
      <c r="Q321" s="815"/>
      <c r="R321" s="815"/>
      <c r="S321" s="815"/>
      <c r="T321" s="815"/>
      <c r="U321" s="815"/>
      <c r="V321" s="815"/>
      <c r="W321" s="815"/>
      <c r="X321" s="815"/>
      <c r="Y321" s="816" t="s">
        <v>78</v>
      </c>
      <c r="Z321" s="816"/>
      <c r="AA321" s="816"/>
      <c r="AB321" s="816"/>
      <c r="AC321" s="816"/>
      <c r="AD321" s="816"/>
      <c r="AE321" s="816"/>
      <c r="AF321" s="483"/>
      <c r="AG321" s="817" t="s">
        <v>267</v>
      </c>
      <c r="AH321" s="818"/>
      <c r="AI321" s="818"/>
      <c r="AJ321" s="819"/>
      <c r="AK321" s="466">
        <f>SUM(AO313:AR320)</f>
        <v>51.41</v>
      </c>
      <c r="AL321" s="467"/>
      <c r="AM321" s="467"/>
      <c r="AN321" s="468"/>
      <c r="AO321" s="820">
        <f>ROUND(AG321*AK321,2)</f>
        <v>10.54</v>
      </c>
      <c r="AP321" s="821"/>
      <c r="AQ321" s="821"/>
      <c r="AR321" s="822"/>
    </row>
    <row r="322" spans="3:44" ht="18" customHeight="1">
      <c r="C322" s="743"/>
      <c r="D322" s="744"/>
      <c r="E322" s="744"/>
      <c r="F322" s="744"/>
      <c r="G322" s="744"/>
      <c r="H322" s="744"/>
      <c r="I322" s="744"/>
      <c r="J322" s="744"/>
      <c r="K322" s="744"/>
      <c r="L322" s="744"/>
      <c r="M322" s="744"/>
      <c r="N322" s="744"/>
      <c r="O322" s="744"/>
      <c r="P322" s="744"/>
      <c r="Q322" s="744"/>
      <c r="R322" s="744"/>
      <c r="S322" s="744"/>
      <c r="T322" s="744"/>
      <c r="U322" s="744"/>
      <c r="V322" s="744"/>
      <c r="W322" s="744"/>
      <c r="X322" s="744"/>
      <c r="Y322" s="745" t="s">
        <v>79</v>
      </c>
      <c r="Z322" s="745"/>
      <c r="AA322" s="745"/>
      <c r="AB322" s="745"/>
      <c r="AC322" s="745"/>
      <c r="AD322" s="745"/>
      <c r="AE322" s="745"/>
      <c r="AF322" s="745"/>
      <c r="AG322" s="745"/>
      <c r="AH322" s="745"/>
      <c r="AI322" s="745"/>
      <c r="AJ322" s="745"/>
      <c r="AK322" s="745"/>
      <c r="AL322" s="745"/>
      <c r="AM322" s="745"/>
      <c r="AN322" s="430"/>
      <c r="AO322" s="477">
        <f>SUM(AO313:AR321)</f>
        <v>61.949999999999996</v>
      </c>
      <c r="AP322" s="746"/>
      <c r="AQ322" s="746"/>
      <c r="AR322" s="747"/>
    </row>
    <row r="324" spans="3:44" ht="18" customHeight="1">
      <c r="C324" s="802"/>
      <c r="D324" s="803"/>
      <c r="E324" s="803"/>
      <c r="F324" s="803"/>
      <c r="G324" s="803"/>
      <c r="H324" s="803"/>
      <c r="I324" s="803"/>
      <c r="J324" s="803"/>
      <c r="K324" s="803"/>
      <c r="L324" s="803"/>
      <c r="M324" s="803"/>
      <c r="N324" s="803"/>
      <c r="O324" s="803"/>
      <c r="P324" s="803"/>
      <c r="Q324" s="803"/>
      <c r="R324" s="803"/>
      <c r="S324" s="803"/>
      <c r="T324" s="803"/>
      <c r="U324" s="803"/>
      <c r="V324" s="803"/>
      <c r="W324" s="803"/>
      <c r="X324" s="803"/>
      <c r="Y324" s="804" t="s">
        <v>80</v>
      </c>
      <c r="Z324" s="805"/>
      <c r="AA324" s="805"/>
      <c r="AB324" s="805"/>
      <c r="AC324" s="805"/>
      <c r="AD324" s="805"/>
      <c r="AE324" s="805"/>
      <c r="AF324" s="805"/>
      <c r="AG324" s="805"/>
      <c r="AH324" s="805"/>
      <c r="AI324" s="805"/>
      <c r="AJ324" s="805"/>
      <c r="AK324" s="805"/>
      <c r="AL324" s="805"/>
      <c r="AM324" s="805"/>
      <c r="AN324" s="806"/>
      <c r="AO324" s="807">
        <f>AO309+AO322</f>
        <v>65.06</v>
      </c>
      <c r="AP324" s="808"/>
      <c r="AQ324" s="808"/>
      <c r="AR324" s="809"/>
    </row>
    <row r="325" spans="3:44" ht="18" customHeight="1">
      <c r="C325" s="810" t="s">
        <v>81</v>
      </c>
      <c r="D325" s="745"/>
      <c r="E325" s="745"/>
      <c r="F325" s="745"/>
      <c r="G325" s="745"/>
      <c r="H325" s="745"/>
      <c r="I325" s="745"/>
      <c r="J325" s="745"/>
      <c r="K325" s="745"/>
      <c r="L325" s="745"/>
      <c r="M325" s="745"/>
      <c r="N325" s="745"/>
      <c r="O325" s="745"/>
      <c r="P325" s="430"/>
      <c r="Q325" s="477">
        <v>10</v>
      </c>
      <c r="R325" s="746"/>
      <c r="S325" s="746"/>
      <c r="T325" s="746"/>
      <c r="U325" s="746"/>
      <c r="V325" s="745" t="s">
        <v>246</v>
      </c>
      <c r="W325" s="745"/>
      <c r="X325" s="430"/>
      <c r="Y325" s="804" t="s">
        <v>82</v>
      </c>
      <c r="Z325" s="805"/>
      <c r="AA325" s="805"/>
      <c r="AB325" s="805"/>
      <c r="AC325" s="805"/>
      <c r="AD325" s="805"/>
      <c r="AE325" s="805"/>
      <c r="AF325" s="805"/>
      <c r="AG325" s="805"/>
      <c r="AH325" s="805"/>
      <c r="AI325" s="805"/>
      <c r="AJ325" s="805"/>
      <c r="AK325" s="805"/>
      <c r="AL325" s="805"/>
      <c r="AM325" s="805"/>
      <c r="AN325" s="806"/>
      <c r="AO325" s="811">
        <f>ROUND(AO324/Q325,2)</f>
        <v>6.51</v>
      </c>
      <c r="AP325" s="812"/>
      <c r="AQ325" s="812"/>
      <c r="AR325" s="813"/>
    </row>
    <row r="327" spans="3:44" ht="18" customHeight="1">
      <c r="C327" s="794" t="s">
        <v>43</v>
      </c>
      <c r="D327" s="774"/>
      <c r="E327" s="775"/>
      <c r="F327" s="773" t="s">
        <v>83</v>
      </c>
      <c r="G327" s="774"/>
      <c r="H327" s="774"/>
      <c r="I327" s="774"/>
      <c r="J327" s="774"/>
      <c r="K327" s="774"/>
      <c r="L327" s="774"/>
      <c r="M327" s="774"/>
      <c r="N327" s="774"/>
      <c r="O327" s="774"/>
      <c r="P327" s="774"/>
      <c r="Q327" s="774"/>
      <c r="R327" s="774"/>
      <c r="S327" s="774"/>
      <c r="T327" s="774"/>
      <c r="U327" s="774"/>
      <c r="V327" s="774"/>
      <c r="W327" s="774"/>
      <c r="X327" s="774"/>
      <c r="Y327" s="774"/>
      <c r="Z327" s="774"/>
      <c r="AA327" s="774"/>
      <c r="AB327" s="775"/>
      <c r="AC327" s="773" t="s">
        <v>84</v>
      </c>
      <c r="AD327" s="774"/>
      <c r="AE327" s="774"/>
      <c r="AF327" s="775"/>
      <c r="AG327" s="773" t="s">
        <v>85</v>
      </c>
      <c r="AH327" s="774"/>
      <c r="AI327" s="774"/>
      <c r="AJ327" s="775"/>
      <c r="AK327" s="773" t="s">
        <v>86</v>
      </c>
      <c r="AL327" s="774"/>
      <c r="AM327" s="774"/>
      <c r="AN327" s="775"/>
      <c r="AO327" s="773" t="s">
        <v>87</v>
      </c>
      <c r="AP327" s="774"/>
      <c r="AQ327" s="774"/>
      <c r="AR327" s="779"/>
    </row>
    <row r="328" spans="3:44" ht="18" customHeight="1">
      <c r="C328" s="795"/>
      <c r="D328" s="777"/>
      <c r="E328" s="778"/>
      <c r="F328" s="776"/>
      <c r="G328" s="777"/>
      <c r="H328" s="777"/>
      <c r="I328" s="777"/>
      <c r="J328" s="777"/>
      <c r="K328" s="777"/>
      <c r="L328" s="777"/>
      <c r="M328" s="777"/>
      <c r="N328" s="777"/>
      <c r="O328" s="777"/>
      <c r="P328" s="777"/>
      <c r="Q328" s="777"/>
      <c r="R328" s="777"/>
      <c r="S328" s="777"/>
      <c r="T328" s="777"/>
      <c r="U328" s="777"/>
      <c r="V328" s="777"/>
      <c r="W328" s="777"/>
      <c r="X328" s="777"/>
      <c r="Y328" s="777"/>
      <c r="Z328" s="777"/>
      <c r="AA328" s="777"/>
      <c r="AB328" s="778"/>
      <c r="AC328" s="776"/>
      <c r="AD328" s="777"/>
      <c r="AE328" s="777"/>
      <c r="AF328" s="778"/>
      <c r="AG328" s="776"/>
      <c r="AH328" s="777"/>
      <c r="AI328" s="777"/>
      <c r="AJ328" s="778"/>
      <c r="AK328" s="776"/>
      <c r="AL328" s="777"/>
      <c r="AM328" s="777"/>
      <c r="AN328" s="778"/>
      <c r="AO328" s="776"/>
      <c r="AP328" s="777"/>
      <c r="AQ328" s="777"/>
      <c r="AR328" s="780"/>
    </row>
    <row r="329" spans="3:44" ht="18" customHeight="1">
      <c r="C329" s="781" t="s">
        <v>239</v>
      </c>
      <c r="D329" s="782"/>
      <c r="E329" s="783"/>
      <c r="F329" s="493" t="s">
        <v>658</v>
      </c>
      <c r="G329" s="493"/>
      <c r="H329" s="493"/>
      <c r="I329" s="493"/>
      <c r="J329" s="493"/>
      <c r="K329" s="493"/>
      <c r="L329" s="493"/>
      <c r="M329" s="493"/>
      <c r="N329" s="493"/>
      <c r="O329" s="493"/>
      <c r="P329" s="493"/>
      <c r="Q329" s="493"/>
      <c r="R329" s="493"/>
      <c r="S329" s="493"/>
      <c r="T329" s="493"/>
      <c r="U329" s="493"/>
      <c r="V329" s="493"/>
      <c r="W329" s="493"/>
      <c r="X329" s="493"/>
      <c r="Y329" s="493"/>
      <c r="Z329" s="493"/>
      <c r="AA329" s="493"/>
      <c r="AB329" s="493"/>
      <c r="AC329" s="471" t="s">
        <v>246</v>
      </c>
      <c r="AD329" s="803"/>
      <c r="AE329" s="803"/>
      <c r="AF329" s="871"/>
      <c r="AG329" s="491">
        <v>3.63</v>
      </c>
      <c r="AH329" s="491"/>
      <c r="AI329" s="491"/>
      <c r="AJ329" s="491"/>
      <c r="AK329" s="791">
        <v>1</v>
      </c>
      <c r="AL329" s="792"/>
      <c r="AM329" s="792"/>
      <c r="AN329" s="793"/>
      <c r="AO329" s="449">
        <f>ROUND(AG329*AK329,2)</f>
        <v>3.63</v>
      </c>
      <c r="AP329" s="449"/>
      <c r="AQ329" s="449"/>
      <c r="AR329" s="450"/>
    </row>
    <row r="330" spans="3:44" ht="18" customHeight="1">
      <c r="C330" s="758" t="s">
        <v>1382</v>
      </c>
      <c r="D330" s="759"/>
      <c r="E330" s="760"/>
      <c r="F330" s="796" t="s">
        <v>471</v>
      </c>
      <c r="G330" s="797"/>
      <c r="H330" s="797"/>
      <c r="I330" s="797"/>
      <c r="J330" s="797"/>
      <c r="K330" s="797"/>
      <c r="L330" s="797"/>
      <c r="M330" s="797"/>
      <c r="N330" s="797"/>
      <c r="O330" s="797"/>
      <c r="P330" s="797"/>
      <c r="Q330" s="797"/>
      <c r="R330" s="797"/>
      <c r="S330" s="797"/>
      <c r="T330" s="797"/>
      <c r="U330" s="797"/>
      <c r="V330" s="797"/>
      <c r="W330" s="797"/>
      <c r="X330" s="797"/>
      <c r="Y330" s="797"/>
      <c r="Z330" s="797"/>
      <c r="AA330" s="797"/>
      <c r="AB330" s="798"/>
      <c r="AC330" s="799" t="s">
        <v>246</v>
      </c>
      <c r="AD330" s="800"/>
      <c r="AE330" s="800"/>
      <c r="AF330" s="801"/>
      <c r="AG330" s="466">
        <f>VLOOKUP(C330,[4]MATERIAL!A$1:D$65536,4,FALSE)</f>
        <v>8.84</v>
      </c>
      <c r="AH330" s="467"/>
      <c r="AI330" s="467"/>
      <c r="AJ330" s="468"/>
      <c r="AK330" s="737">
        <v>0.15</v>
      </c>
      <c r="AL330" s="738"/>
      <c r="AM330" s="738"/>
      <c r="AN330" s="739"/>
      <c r="AO330" s="449">
        <f>ROUND(AG330*AK330,2)</f>
        <v>1.33</v>
      </c>
      <c r="AP330" s="449"/>
      <c r="AQ330" s="449"/>
      <c r="AR330" s="450"/>
    </row>
    <row r="331" spans="3:44" ht="18" customHeight="1">
      <c r="C331" s="758"/>
      <c r="D331" s="759"/>
      <c r="E331" s="760"/>
      <c r="F331" s="796"/>
      <c r="G331" s="797"/>
      <c r="H331" s="797"/>
      <c r="I331" s="797"/>
      <c r="J331" s="797"/>
      <c r="K331" s="797"/>
      <c r="L331" s="797"/>
      <c r="M331" s="797"/>
      <c r="N331" s="797"/>
      <c r="O331" s="797"/>
      <c r="P331" s="797"/>
      <c r="Q331" s="797"/>
      <c r="R331" s="797"/>
      <c r="S331" s="797"/>
      <c r="T331" s="797"/>
      <c r="U331" s="797"/>
      <c r="V331" s="797"/>
      <c r="W331" s="797"/>
      <c r="X331" s="797"/>
      <c r="Y331" s="797"/>
      <c r="Z331" s="797"/>
      <c r="AA331" s="797"/>
      <c r="AB331" s="798"/>
      <c r="AC331" s="799"/>
      <c r="AD331" s="800"/>
      <c r="AE331" s="800"/>
      <c r="AF331" s="801"/>
      <c r="AG331" s="466"/>
      <c r="AH331" s="467"/>
      <c r="AI331" s="467"/>
      <c r="AJ331" s="468"/>
      <c r="AK331" s="737"/>
      <c r="AL331" s="738"/>
      <c r="AM331" s="738"/>
      <c r="AN331" s="739"/>
      <c r="AO331" s="740"/>
      <c r="AP331" s="741"/>
      <c r="AQ331" s="741"/>
      <c r="AR331" s="742"/>
    </row>
    <row r="332" spans="3:44" ht="18" customHeight="1">
      <c r="C332" s="758"/>
      <c r="D332" s="759"/>
      <c r="E332" s="760"/>
      <c r="F332" s="796">
        <v>0</v>
      </c>
      <c r="G332" s="797"/>
      <c r="H332" s="797"/>
      <c r="I332" s="797"/>
      <c r="J332" s="797"/>
      <c r="K332" s="797"/>
      <c r="L332" s="797"/>
      <c r="M332" s="797"/>
      <c r="N332" s="797"/>
      <c r="O332" s="797"/>
      <c r="P332" s="797"/>
      <c r="Q332" s="797"/>
      <c r="R332" s="797"/>
      <c r="S332" s="797"/>
      <c r="T332" s="797"/>
      <c r="U332" s="797"/>
      <c r="V332" s="797"/>
      <c r="W332" s="797"/>
      <c r="X332" s="797"/>
      <c r="Y332" s="797"/>
      <c r="Z332" s="797"/>
      <c r="AA332" s="797"/>
      <c r="AB332" s="798"/>
      <c r="AC332" s="799"/>
      <c r="AD332" s="800"/>
      <c r="AE332" s="800"/>
      <c r="AF332" s="801"/>
      <c r="AG332" s="466"/>
      <c r="AH332" s="467"/>
      <c r="AI332" s="467"/>
      <c r="AJ332" s="468"/>
      <c r="AK332" s="737"/>
      <c r="AL332" s="738"/>
      <c r="AM332" s="738"/>
      <c r="AN332" s="739"/>
      <c r="AO332" s="740"/>
      <c r="AP332" s="741"/>
      <c r="AQ332" s="741"/>
      <c r="AR332" s="742"/>
    </row>
    <row r="333" spans="3:44" ht="18" customHeight="1">
      <c r="C333" s="758"/>
      <c r="D333" s="759"/>
      <c r="E333" s="760"/>
      <c r="F333" s="796">
        <v>0</v>
      </c>
      <c r="G333" s="797"/>
      <c r="H333" s="797"/>
      <c r="I333" s="797"/>
      <c r="J333" s="797"/>
      <c r="K333" s="797"/>
      <c r="L333" s="797"/>
      <c r="M333" s="797"/>
      <c r="N333" s="797"/>
      <c r="O333" s="797"/>
      <c r="P333" s="797"/>
      <c r="Q333" s="797"/>
      <c r="R333" s="797"/>
      <c r="S333" s="797"/>
      <c r="T333" s="797"/>
      <c r="U333" s="797"/>
      <c r="V333" s="797"/>
      <c r="W333" s="797"/>
      <c r="X333" s="797"/>
      <c r="Y333" s="797"/>
      <c r="Z333" s="797"/>
      <c r="AA333" s="797"/>
      <c r="AB333" s="798"/>
      <c r="AC333" s="799">
        <v>0</v>
      </c>
      <c r="AD333" s="800"/>
      <c r="AE333" s="800"/>
      <c r="AF333" s="801"/>
      <c r="AG333" s="466">
        <v>0</v>
      </c>
      <c r="AH333" s="467"/>
      <c r="AI333" s="467"/>
      <c r="AJ333" s="468"/>
      <c r="AK333" s="737"/>
      <c r="AL333" s="738"/>
      <c r="AM333" s="738"/>
      <c r="AN333" s="739"/>
      <c r="AO333" s="740">
        <f>ROUND(AG333*AK333,2)</f>
        <v>0</v>
      </c>
      <c r="AP333" s="741"/>
      <c r="AQ333" s="741"/>
      <c r="AR333" s="742"/>
    </row>
    <row r="334" spans="3:44" ht="18" customHeight="1">
      <c r="C334" s="758"/>
      <c r="D334" s="759"/>
      <c r="E334" s="760"/>
      <c r="F334" s="796"/>
      <c r="G334" s="797"/>
      <c r="H334" s="797"/>
      <c r="I334" s="797"/>
      <c r="J334" s="797"/>
      <c r="K334" s="797"/>
      <c r="L334" s="797"/>
      <c r="M334" s="797"/>
      <c r="N334" s="797"/>
      <c r="O334" s="797"/>
      <c r="P334" s="797"/>
      <c r="Q334" s="797"/>
      <c r="R334" s="797"/>
      <c r="S334" s="797"/>
      <c r="T334" s="797"/>
      <c r="U334" s="797"/>
      <c r="V334" s="797"/>
      <c r="W334" s="797"/>
      <c r="X334" s="797"/>
      <c r="Y334" s="797"/>
      <c r="Z334" s="797"/>
      <c r="AA334" s="797"/>
      <c r="AB334" s="798"/>
      <c r="AC334" s="799"/>
      <c r="AD334" s="800"/>
      <c r="AE334" s="800"/>
      <c r="AF334" s="801"/>
      <c r="AG334" s="466"/>
      <c r="AH334" s="467"/>
      <c r="AI334" s="467"/>
      <c r="AJ334" s="468"/>
      <c r="AK334" s="737"/>
      <c r="AL334" s="738"/>
      <c r="AM334" s="738"/>
      <c r="AN334" s="739"/>
      <c r="AO334" s="740"/>
      <c r="AP334" s="741"/>
      <c r="AQ334" s="741"/>
      <c r="AR334" s="742"/>
    </row>
    <row r="335" spans="3:44" ht="18" customHeight="1">
      <c r="C335" s="758"/>
      <c r="D335" s="759"/>
      <c r="E335" s="760"/>
      <c r="F335" s="796"/>
      <c r="G335" s="797"/>
      <c r="H335" s="797"/>
      <c r="I335" s="797"/>
      <c r="J335" s="797"/>
      <c r="K335" s="797"/>
      <c r="L335" s="797"/>
      <c r="M335" s="797"/>
      <c r="N335" s="797"/>
      <c r="O335" s="797"/>
      <c r="P335" s="797"/>
      <c r="Q335" s="797"/>
      <c r="R335" s="797"/>
      <c r="S335" s="797"/>
      <c r="T335" s="797"/>
      <c r="U335" s="797"/>
      <c r="V335" s="797"/>
      <c r="W335" s="797"/>
      <c r="X335" s="797"/>
      <c r="Y335" s="797"/>
      <c r="Z335" s="797"/>
      <c r="AA335" s="797"/>
      <c r="AB335" s="798"/>
      <c r="AC335" s="799"/>
      <c r="AD335" s="800"/>
      <c r="AE335" s="800"/>
      <c r="AF335" s="801"/>
      <c r="AG335" s="466"/>
      <c r="AH335" s="467"/>
      <c r="AI335" s="467"/>
      <c r="AJ335" s="468"/>
      <c r="AK335" s="737"/>
      <c r="AL335" s="738"/>
      <c r="AM335" s="738"/>
      <c r="AN335" s="739"/>
      <c r="AO335" s="740"/>
      <c r="AP335" s="741"/>
      <c r="AQ335" s="741"/>
      <c r="AR335" s="742"/>
    </row>
    <row r="336" spans="3:44" ht="18" customHeight="1">
      <c r="C336" s="758"/>
      <c r="D336" s="759"/>
      <c r="E336" s="760"/>
      <c r="F336" s="796"/>
      <c r="G336" s="797"/>
      <c r="H336" s="797"/>
      <c r="I336" s="797"/>
      <c r="J336" s="797"/>
      <c r="K336" s="797"/>
      <c r="L336" s="797"/>
      <c r="M336" s="797"/>
      <c r="N336" s="797"/>
      <c r="O336" s="797"/>
      <c r="P336" s="797"/>
      <c r="Q336" s="797"/>
      <c r="R336" s="797"/>
      <c r="S336" s="797"/>
      <c r="T336" s="797"/>
      <c r="U336" s="797"/>
      <c r="V336" s="797"/>
      <c r="W336" s="797"/>
      <c r="X336" s="797"/>
      <c r="Y336" s="797"/>
      <c r="Z336" s="797"/>
      <c r="AA336" s="797"/>
      <c r="AB336" s="798"/>
      <c r="AC336" s="799"/>
      <c r="AD336" s="800"/>
      <c r="AE336" s="800"/>
      <c r="AF336" s="801"/>
      <c r="AG336" s="466"/>
      <c r="AH336" s="467"/>
      <c r="AI336" s="467"/>
      <c r="AJ336" s="468"/>
      <c r="AK336" s="737"/>
      <c r="AL336" s="738"/>
      <c r="AM336" s="738"/>
      <c r="AN336" s="739"/>
      <c r="AO336" s="740"/>
      <c r="AP336" s="741"/>
      <c r="AQ336" s="741"/>
      <c r="AR336" s="742"/>
    </row>
    <row r="337" spans="3:44" ht="18" customHeight="1">
      <c r="C337" s="743"/>
      <c r="D337" s="744"/>
      <c r="E337" s="744"/>
      <c r="F337" s="744"/>
      <c r="G337" s="744"/>
      <c r="H337" s="744"/>
      <c r="I337" s="744"/>
      <c r="J337" s="744"/>
      <c r="K337" s="744"/>
      <c r="L337" s="744"/>
      <c r="M337" s="744"/>
      <c r="N337" s="744"/>
      <c r="O337" s="744"/>
      <c r="P337" s="744"/>
      <c r="Q337" s="744"/>
      <c r="R337" s="744"/>
      <c r="S337" s="744"/>
      <c r="T337" s="744"/>
      <c r="U337" s="744"/>
      <c r="V337" s="744"/>
      <c r="W337" s="744"/>
      <c r="X337" s="744"/>
      <c r="Y337" s="745" t="s">
        <v>88</v>
      </c>
      <c r="Z337" s="745"/>
      <c r="AA337" s="745"/>
      <c r="AB337" s="745"/>
      <c r="AC337" s="745"/>
      <c r="AD337" s="745"/>
      <c r="AE337" s="745"/>
      <c r="AF337" s="745"/>
      <c r="AG337" s="745"/>
      <c r="AH337" s="745"/>
      <c r="AI337" s="745"/>
      <c r="AJ337" s="745"/>
      <c r="AK337" s="745"/>
      <c r="AL337" s="745"/>
      <c r="AM337" s="745"/>
      <c r="AN337" s="430"/>
      <c r="AO337" s="477">
        <f>SUM(AO329:AR336)</f>
        <v>4.96</v>
      </c>
      <c r="AP337" s="746"/>
      <c r="AQ337" s="746"/>
      <c r="AR337" s="747"/>
    </row>
    <row r="339" spans="3:44" ht="18" customHeight="1">
      <c r="C339" s="794" t="s">
        <v>43</v>
      </c>
      <c r="D339" s="774"/>
      <c r="E339" s="775"/>
      <c r="F339" s="773" t="s">
        <v>89</v>
      </c>
      <c r="G339" s="774"/>
      <c r="H339" s="774"/>
      <c r="I339" s="774"/>
      <c r="J339" s="774"/>
      <c r="K339" s="774"/>
      <c r="L339" s="774"/>
      <c r="M339" s="774"/>
      <c r="N339" s="774"/>
      <c r="O339" s="774"/>
      <c r="P339" s="774"/>
      <c r="Q339" s="774"/>
      <c r="R339" s="775"/>
      <c r="S339" s="773" t="s">
        <v>90</v>
      </c>
      <c r="T339" s="774"/>
      <c r="U339" s="775"/>
      <c r="V339" s="773" t="s">
        <v>91</v>
      </c>
      <c r="W339" s="774"/>
      <c r="X339" s="775"/>
      <c r="Y339" s="773" t="s">
        <v>92</v>
      </c>
      <c r="Z339" s="774"/>
      <c r="AA339" s="774"/>
      <c r="AB339" s="774"/>
      <c r="AC339" s="774"/>
      <c r="AD339" s="775"/>
      <c r="AE339" s="773" t="s">
        <v>93</v>
      </c>
      <c r="AF339" s="774"/>
      <c r="AG339" s="775"/>
      <c r="AH339" s="773" t="s">
        <v>94</v>
      </c>
      <c r="AI339" s="774"/>
      <c r="AJ339" s="775"/>
      <c r="AK339" s="773" t="s">
        <v>86</v>
      </c>
      <c r="AL339" s="774"/>
      <c r="AM339" s="774"/>
      <c r="AN339" s="775"/>
      <c r="AO339" s="773" t="s">
        <v>87</v>
      </c>
      <c r="AP339" s="774"/>
      <c r="AQ339" s="774"/>
      <c r="AR339" s="779"/>
    </row>
    <row r="340" spans="3:44" ht="18" customHeight="1">
      <c r="C340" s="795"/>
      <c r="D340" s="777"/>
      <c r="E340" s="778"/>
      <c r="F340" s="776"/>
      <c r="G340" s="777"/>
      <c r="H340" s="777"/>
      <c r="I340" s="777"/>
      <c r="J340" s="777"/>
      <c r="K340" s="777"/>
      <c r="L340" s="777"/>
      <c r="M340" s="777"/>
      <c r="N340" s="777"/>
      <c r="O340" s="777"/>
      <c r="P340" s="777"/>
      <c r="Q340" s="777"/>
      <c r="R340" s="778"/>
      <c r="S340" s="776"/>
      <c r="T340" s="777"/>
      <c r="U340" s="778"/>
      <c r="V340" s="776"/>
      <c r="W340" s="777"/>
      <c r="X340" s="778"/>
      <c r="Y340" s="776"/>
      <c r="Z340" s="777"/>
      <c r="AA340" s="777"/>
      <c r="AB340" s="777"/>
      <c r="AC340" s="777"/>
      <c r="AD340" s="778"/>
      <c r="AE340" s="776"/>
      <c r="AF340" s="777"/>
      <c r="AG340" s="778"/>
      <c r="AH340" s="776"/>
      <c r="AI340" s="777"/>
      <c r="AJ340" s="778"/>
      <c r="AK340" s="776"/>
      <c r="AL340" s="777"/>
      <c r="AM340" s="777"/>
      <c r="AN340" s="778"/>
      <c r="AO340" s="776"/>
      <c r="AP340" s="777"/>
      <c r="AQ340" s="777"/>
      <c r="AR340" s="780"/>
    </row>
    <row r="341" spans="3:44" ht="18" customHeight="1">
      <c r="C341" s="781"/>
      <c r="D341" s="782"/>
      <c r="E341" s="783"/>
      <c r="F341" s="457"/>
      <c r="G341" s="457"/>
      <c r="H341" s="457"/>
      <c r="I341" s="457"/>
      <c r="J341" s="457"/>
      <c r="K341" s="457"/>
      <c r="L341" s="457"/>
      <c r="M341" s="457"/>
      <c r="N341" s="457"/>
      <c r="O341" s="457"/>
      <c r="P341" s="457"/>
      <c r="Q341" s="457"/>
      <c r="R341" s="457"/>
      <c r="S341" s="784"/>
      <c r="T341" s="785"/>
      <c r="U341" s="786"/>
      <c r="V341" s="784"/>
      <c r="W341" s="785"/>
      <c r="X341" s="786"/>
      <c r="Y341" s="787"/>
      <c r="Z341" s="788"/>
      <c r="AA341" s="788"/>
      <c r="AB341" s="788"/>
      <c r="AC341" s="788"/>
      <c r="AD341" s="789"/>
      <c r="AE341" s="449"/>
      <c r="AF341" s="449"/>
      <c r="AG341" s="449"/>
      <c r="AH341" s="770"/>
      <c r="AI341" s="771"/>
      <c r="AJ341" s="790"/>
      <c r="AK341" s="791"/>
      <c r="AL341" s="792"/>
      <c r="AM341" s="792"/>
      <c r="AN341" s="793"/>
      <c r="AO341" s="770"/>
      <c r="AP341" s="771"/>
      <c r="AQ341" s="771"/>
      <c r="AR341" s="772"/>
    </row>
    <row r="342" spans="3:44" ht="18" customHeight="1">
      <c r="C342" s="758"/>
      <c r="D342" s="759"/>
      <c r="E342" s="760"/>
      <c r="F342" s="761"/>
      <c r="G342" s="762"/>
      <c r="H342" s="762"/>
      <c r="I342" s="762"/>
      <c r="J342" s="762"/>
      <c r="K342" s="762"/>
      <c r="L342" s="762"/>
      <c r="M342" s="762"/>
      <c r="N342" s="762"/>
      <c r="O342" s="762"/>
      <c r="P342" s="762"/>
      <c r="Q342" s="762"/>
      <c r="R342" s="763"/>
      <c r="S342" s="764"/>
      <c r="T342" s="765"/>
      <c r="U342" s="766"/>
      <c r="V342" s="764"/>
      <c r="W342" s="765"/>
      <c r="X342" s="766"/>
      <c r="Y342" s="767"/>
      <c r="Z342" s="768"/>
      <c r="AA342" s="768"/>
      <c r="AB342" s="768"/>
      <c r="AC342" s="768"/>
      <c r="AD342" s="769"/>
      <c r="AE342" s="740"/>
      <c r="AF342" s="741"/>
      <c r="AG342" s="757"/>
      <c r="AH342" s="740"/>
      <c r="AI342" s="741"/>
      <c r="AJ342" s="757"/>
      <c r="AK342" s="737"/>
      <c r="AL342" s="738"/>
      <c r="AM342" s="738"/>
      <c r="AN342" s="739"/>
      <c r="AO342" s="740">
        <f t="shared" ref="AO342:AO348" si="4">ROUND(AE342*AH342*AK342,2)</f>
        <v>0</v>
      </c>
      <c r="AP342" s="741"/>
      <c r="AQ342" s="741"/>
      <c r="AR342" s="742"/>
    </row>
    <row r="343" spans="3:44" ht="18" customHeight="1">
      <c r="C343" s="758"/>
      <c r="D343" s="759"/>
      <c r="E343" s="760"/>
      <c r="F343" s="761"/>
      <c r="G343" s="762"/>
      <c r="H343" s="762"/>
      <c r="I343" s="762"/>
      <c r="J343" s="762"/>
      <c r="K343" s="762"/>
      <c r="L343" s="762"/>
      <c r="M343" s="762"/>
      <c r="N343" s="762"/>
      <c r="O343" s="762"/>
      <c r="P343" s="762"/>
      <c r="Q343" s="762"/>
      <c r="R343" s="763"/>
      <c r="S343" s="764"/>
      <c r="T343" s="765"/>
      <c r="U343" s="766"/>
      <c r="V343" s="764"/>
      <c r="W343" s="765"/>
      <c r="X343" s="766"/>
      <c r="Y343" s="767"/>
      <c r="Z343" s="768"/>
      <c r="AA343" s="768"/>
      <c r="AB343" s="768"/>
      <c r="AC343" s="768"/>
      <c r="AD343" s="769"/>
      <c r="AE343" s="740"/>
      <c r="AF343" s="741"/>
      <c r="AG343" s="757"/>
      <c r="AH343" s="740"/>
      <c r="AI343" s="741"/>
      <c r="AJ343" s="757"/>
      <c r="AK343" s="737"/>
      <c r="AL343" s="738"/>
      <c r="AM343" s="738"/>
      <c r="AN343" s="739"/>
      <c r="AO343" s="740">
        <f t="shared" si="4"/>
        <v>0</v>
      </c>
      <c r="AP343" s="741"/>
      <c r="AQ343" s="741"/>
      <c r="AR343" s="742"/>
    </row>
    <row r="344" spans="3:44" ht="18" customHeight="1">
      <c r="C344" s="758"/>
      <c r="D344" s="759"/>
      <c r="E344" s="760"/>
      <c r="F344" s="761"/>
      <c r="G344" s="762"/>
      <c r="H344" s="762"/>
      <c r="I344" s="762"/>
      <c r="J344" s="762"/>
      <c r="K344" s="762"/>
      <c r="L344" s="762"/>
      <c r="M344" s="762"/>
      <c r="N344" s="762"/>
      <c r="O344" s="762"/>
      <c r="P344" s="762"/>
      <c r="Q344" s="762"/>
      <c r="R344" s="763"/>
      <c r="S344" s="764"/>
      <c r="T344" s="765"/>
      <c r="U344" s="766"/>
      <c r="V344" s="764"/>
      <c r="W344" s="765"/>
      <c r="X344" s="766"/>
      <c r="Y344" s="767"/>
      <c r="Z344" s="768"/>
      <c r="AA344" s="768"/>
      <c r="AB344" s="768"/>
      <c r="AC344" s="768"/>
      <c r="AD344" s="769"/>
      <c r="AE344" s="740"/>
      <c r="AF344" s="741"/>
      <c r="AG344" s="757"/>
      <c r="AH344" s="740"/>
      <c r="AI344" s="741"/>
      <c r="AJ344" s="757"/>
      <c r="AK344" s="737"/>
      <c r="AL344" s="738"/>
      <c r="AM344" s="738"/>
      <c r="AN344" s="739"/>
      <c r="AO344" s="740">
        <f t="shared" si="4"/>
        <v>0</v>
      </c>
      <c r="AP344" s="741"/>
      <c r="AQ344" s="741"/>
      <c r="AR344" s="742"/>
    </row>
    <row r="345" spans="3:44" ht="18" customHeight="1">
      <c r="C345" s="758"/>
      <c r="D345" s="759"/>
      <c r="E345" s="760"/>
      <c r="F345" s="761"/>
      <c r="G345" s="762"/>
      <c r="H345" s="762"/>
      <c r="I345" s="762"/>
      <c r="J345" s="762"/>
      <c r="K345" s="762"/>
      <c r="L345" s="762"/>
      <c r="M345" s="762"/>
      <c r="N345" s="762"/>
      <c r="O345" s="762"/>
      <c r="P345" s="762"/>
      <c r="Q345" s="762"/>
      <c r="R345" s="763"/>
      <c r="S345" s="764"/>
      <c r="T345" s="765"/>
      <c r="U345" s="766"/>
      <c r="V345" s="764"/>
      <c r="W345" s="765"/>
      <c r="X345" s="766"/>
      <c r="Y345" s="767"/>
      <c r="Z345" s="768"/>
      <c r="AA345" s="768"/>
      <c r="AB345" s="768"/>
      <c r="AC345" s="768"/>
      <c r="AD345" s="769"/>
      <c r="AE345" s="740"/>
      <c r="AF345" s="741"/>
      <c r="AG345" s="757"/>
      <c r="AH345" s="740"/>
      <c r="AI345" s="741"/>
      <c r="AJ345" s="757"/>
      <c r="AK345" s="737"/>
      <c r="AL345" s="738"/>
      <c r="AM345" s="738"/>
      <c r="AN345" s="739"/>
      <c r="AO345" s="740">
        <f t="shared" si="4"/>
        <v>0</v>
      </c>
      <c r="AP345" s="741"/>
      <c r="AQ345" s="741"/>
      <c r="AR345" s="742"/>
    </row>
    <row r="346" spans="3:44" ht="18" customHeight="1">
      <c r="C346" s="758"/>
      <c r="D346" s="759"/>
      <c r="E346" s="760"/>
      <c r="F346" s="761"/>
      <c r="G346" s="762"/>
      <c r="H346" s="762"/>
      <c r="I346" s="762"/>
      <c r="J346" s="762"/>
      <c r="K346" s="762"/>
      <c r="L346" s="762"/>
      <c r="M346" s="762"/>
      <c r="N346" s="762"/>
      <c r="O346" s="762"/>
      <c r="P346" s="762"/>
      <c r="Q346" s="762"/>
      <c r="R346" s="763"/>
      <c r="S346" s="764"/>
      <c r="T346" s="765"/>
      <c r="U346" s="766"/>
      <c r="V346" s="764"/>
      <c r="W346" s="765"/>
      <c r="X346" s="766"/>
      <c r="Y346" s="767"/>
      <c r="Z346" s="768"/>
      <c r="AA346" s="768"/>
      <c r="AB346" s="768"/>
      <c r="AC346" s="768"/>
      <c r="AD346" s="769"/>
      <c r="AE346" s="740"/>
      <c r="AF346" s="741"/>
      <c r="AG346" s="757"/>
      <c r="AH346" s="740"/>
      <c r="AI346" s="741"/>
      <c r="AJ346" s="757"/>
      <c r="AK346" s="737"/>
      <c r="AL346" s="738"/>
      <c r="AM346" s="738"/>
      <c r="AN346" s="739"/>
      <c r="AO346" s="740">
        <f t="shared" si="4"/>
        <v>0</v>
      </c>
      <c r="AP346" s="741"/>
      <c r="AQ346" s="741"/>
      <c r="AR346" s="742"/>
    </row>
    <row r="347" spans="3:44" ht="18" customHeight="1">
      <c r="C347" s="758"/>
      <c r="D347" s="759"/>
      <c r="E347" s="760"/>
      <c r="F347" s="761"/>
      <c r="G347" s="762"/>
      <c r="H347" s="762"/>
      <c r="I347" s="762"/>
      <c r="J347" s="762"/>
      <c r="K347" s="762"/>
      <c r="L347" s="762"/>
      <c r="M347" s="762"/>
      <c r="N347" s="762"/>
      <c r="O347" s="762"/>
      <c r="P347" s="762"/>
      <c r="Q347" s="762"/>
      <c r="R347" s="763"/>
      <c r="S347" s="764"/>
      <c r="T347" s="765"/>
      <c r="U347" s="766"/>
      <c r="V347" s="764"/>
      <c r="W347" s="765"/>
      <c r="X347" s="766"/>
      <c r="Y347" s="767"/>
      <c r="Z347" s="768"/>
      <c r="AA347" s="768"/>
      <c r="AB347" s="768"/>
      <c r="AC347" s="768"/>
      <c r="AD347" s="769"/>
      <c r="AE347" s="740"/>
      <c r="AF347" s="741"/>
      <c r="AG347" s="757"/>
      <c r="AH347" s="740"/>
      <c r="AI347" s="741"/>
      <c r="AJ347" s="757"/>
      <c r="AK347" s="737"/>
      <c r="AL347" s="738"/>
      <c r="AM347" s="738"/>
      <c r="AN347" s="739"/>
      <c r="AO347" s="740">
        <f t="shared" si="4"/>
        <v>0</v>
      </c>
      <c r="AP347" s="741"/>
      <c r="AQ347" s="741"/>
      <c r="AR347" s="742"/>
    </row>
    <row r="348" spans="3:44" ht="18" customHeight="1">
      <c r="C348" s="758"/>
      <c r="D348" s="759"/>
      <c r="E348" s="760"/>
      <c r="F348" s="761"/>
      <c r="G348" s="762"/>
      <c r="H348" s="762"/>
      <c r="I348" s="762"/>
      <c r="J348" s="762"/>
      <c r="K348" s="762"/>
      <c r="L348" s="762"/>
      <c r="M348" s="762"/>
      <c r="N348" s="762"/>
      <c r="O348" s="762"/>
      <c r="P348" s="762"/>
      <c r="Q348" s="762"/>
      <c r="R348" s="763"/>
      <c r="S348" s="764"/>
      <c r="T348" s="765"/>
      <c r="U348" s="766"/>
      <c r="V348" s="764"/>
      <c r="W348" s="765"/>
      <c r="X348" s="766"/>
      <c r="Y348" s="767"/>
      <c r="Z348" s="768"/>
      <c r="AA348" s="768"/>
      <c r="AB348" s="768"/>
      <c r="AC348" s="768"/>
      <c r="AD348" s="769"/>
      <c r="AE348" s="740"/>
      <c r="AF348" s="741"/>
      <c r="AG348" s="757"/>
      <c r="AH348" s="740"/>
      <c r="AI348" s="741"/>
      <c r="AJ348" s="757"/>
      <c r="AK348" s="737"/>
      <c r="AL348" s="738"/>
      <c r="AM348" s="738"/>
      <c r="AN348" s="739"/>
      <c r="AO348" s="740">
        <f t="shared" si="4"/>
        <v>0</v>
      </c>
      <c r="AP348" s="741"/>
      <c r="AQ348" s="741"/>
      <c r="AR348" s="742"/>
    </row>
    <row r="349" spans="3:44" ht="18" customHeight="1">
      <c r="C349" s="743"/>
      <c r="D349" s="744"/>
      <c r="E349" s="744"/>
      <c r="F349" s="744"/>
      <c r="G349" s="744"/>
      <c r="H349" s="744"/>
      <c r="I349" s="744"/>
      <c r="J349" s="744"/>
      <c r="K349" s="744"/>
      <c r="L349" s="744"/>
      <c r="M349" s="744"/>
      <c r="N349" s="744"/>
      <c r="O349" s="744"/>
      <c r="P349" s="744"/>
      <c r="Q349" s="744"/>
      <c r="R349" s="744"/>
      <c r="S349" s="744"/>
      <c r="T349" s="744"/>
      <c r="U349" s="744"/>
      <c r="V349" s="744"/>
      <c r="W349" s="744"/>
      <c r="X349" s="744"/>
      <c r="Y349" s="745" t="s">
        <v>95</v>
      </c>
      <c r="Z349" s="745"/>
      <c r="AA349" s="745"/>
      <c r="AB349" s="745"/>
      <c r="AC349" s="745"/>
      <c r="AD349" s="745"/>
      <c r="AE349" s="745"/>
      <c r="AF349" s="745"/>
      <c r="AG349" s="745"/>
      <c r="AH349" s="745"/>
      <c r="AI349" s="745"/>
      <c r="AJ349" s="745"/>
      <c r="AK349" s="745"/>
      <c r="AL349" s="745"/>
      <c r="AM349" s="745"/>
      <c r="AN349" s="430"/>
      <c r="AO349" s="477">
        <f>SUM(AO341:AR348)</f>
        <v>0</v>
      </c>
      <c r="AP349" s="746"/>
      <c r="AQ349" s="746"/>
      <c r="AR349" s="747"/>
    </row>
    <row r="351" spans="3:44" ht="18" customHeight="1">
      <c r="C351" s="434"/>
      <c r="D351" s="434"/>
      <c r="E351" s="434"/>
      <c r="F351" s="434"/>
      <c r="G351" s="434"/>
      <c r="H351" s="434"/>
      <c r="I351" s="434"/>
      <c r="J351" s="434"/>
      <c r="K351" s="434"/>
      <c r="L351" s="434"/>
      <c r="M351" s="434"/>
      <c r="N351" s="434"/>
      <c r="O351" s="434"/>
      <c r="P351" s="434"/>
      <c r="Q351" s="434"/>
      <c r="R351" s="434"/>
      <c r="S351" s="434"/>
      <c r="T351" s="434"/>
      <c r="U351" s="434"/>
      <c r="V351" s="434"/>
      <c r="W351" s="434"/>
      <c r="X351" s="748"/>
      <c r="Y351" s="749" t="s">
        <v>96</v>
      </c>
      <c r="Z351" s="750"/>
      <c r="AA351" s="750"/>
      <c r="AB351" s="750"/>
      <c r="AC351" s="750"/>
      <c r="AD351" s="750"/>
      <c r="AE351" s="750"/>
      <c r="AF351" s="750"/>
      <c r="AG351" s="750"/>
      <c r="AH351" s="750"/>
      <c r="AI351" s="750"/>
      <c r="AJ351" s="750"/>
      <c r="AK351" s="750"/>
      <c r="AL351" s="750"/>
      <c r="AM351" s="750"/>
      <c r="AN351" s="751"/>
      <c r="AO351" s="752">
        <f>AO325+AO337+AO349</f>
        <v>11.469999999999999</v>
      </c>
      <c r="AP351" s="753"/>
      <c r="AQ351" s="753"/>
      <c r="AR351" s="754"/>
    </row>
    <row r="352" spans="3:44" ht="18" customHeight="1">
      <c r="C352" s="434"/>
      <c r="D352" s="434"/>
      <c r="E352" s="434"/>
      <c r="F352" s="434"/>
      <c r="G352" s="434"/>
      <c r="H352" s="434"/>
      <c r="I352" s="434"/>
      <c r="J352" s="434"/>
      <c r="K352" s="434"/>
      <c r="L352" s="434"/>
      <c r="M352" s="434"/>
      <c r="N352" s="434"/>
      <c r="O352" s="434"/>
      <c r="P352" s="434"/>
      <c r="Q352" s="434"/>
      <c r="R352" s="434"/>
      <c r="S352" s="434"/>
      <c r="T352" s="434"/>
      <c r="U352" s="434"/>
      <c r="V352" s="434"/>
      <c r="W352" s="434"/>
      <c r="X352" s="748"/>
      <c r="Y352" s="755" t="s">
        <v>97</v>
      </c>
      <c r="Z352" s="756"/>
      <c r="AA352" s="756"/>
      <c r="AB352" s="756"/>
      <c r="AC352" s="756"/>
      <c r="AD352" s="756"/>
      <c r="AE352" s="756"/>
      <c r="AF352" s="756"/>
      <c r="AG352" s="756"/>
      <c r="AH352" s="442">
        <v>0.2031</v>
      </c>
      <c r="AI352" s="442"/>
      <c r="AJ352" s="442"/>
      <c r="AK352" s="442"/>
      <c r="AL352" s="442"/>
      <c r="AM352" s="442"/>
      <c r="AN352" s="443"/>
      <c r="AO352" s="728">
        <f>ROUND(AO351*AH352,2)</f>
        <v>2.33</v>
      </c>
      <c r="AP352" s="729"/>
      <c r="AQ352" s="729"/>
      <c r="AR352" s="730"/>
    </row>
    <row r="353" spans="1:44" ht="18" customHeight="1">
      <c r="A353" s="415" t="s">
        <v>661</v>
      </c>
      <c r="B353" s="415"/>
      <c r="C353" s="434"/>
      <c r="D353" s="434"/>
      <c r="E353" s="434"/>
      <c r="F353" s="434"/>
      <c r="G353" s="434"/>
      <c r="H353" s="434"/>
      <c r="I353" s="434"/>
      <c r="J353" s="434"/>
      <c r="K353" s="434"/>
      <c r="L353" s="434"/>
      <c r="M353" s="434"/>
      <c r="N353" s="434"/>
      <c r="O353" s="434"/>
      <c r="P353" s="434"/>
      <c r="Q353" s="434"/>
      <c r="R353" s="434"/>
      <c r="S353" s="434"/>
      <c r="T353" s="434"/>
      <c r="U353" s="434"/>
      <c r="V353" s="434"/>
      <c r="W353" s="434"/>
      <c r="X353" s="748"/>
      <c r="Y353" s="731" t="s">
        <v>98</v>
      </c>
      <c r="Z353" s="732"/>
      <c r="AA353" s="732"/>
      <c r="AB353" s="732"/>
      <c r="AC353" s="732"/>
      <c r="AD353" s="732"/>
      <c r="AE353" s="732"/>
      <c r="AF353" s="732"/>
      <c r="AG353" s="732"/>
      <c r="AH353" s="732"/>
      <c r="AI353" s="732"/>
      <c r="AJ353" s="732"/>
      <c r="AK353" s="732"/>
      <c r="AL353" s="732"/>
      <c r="AM353" s="732"/>
      <c r="AN353" s="733"/>
      <c r="AO353" s="734">
        <f>SUM(AO351:AR352)</f>
        <v>13.799999999999999</v>
      </c>
      <c r="AP353" s="735"/>
      <c r="AQ353" s="735"/>
      <c r="AR353" s="736"/>
    </row>
    <row r="355" spans="1:44" ht="18" customHeight="1">
      <c r="C355" s="420" t="s">
        <v>99</v>
      </c>
      <c r="D355" s="421"/>
      <c r="E355" s="421"/>
      <c r="F355" s="421"/>
      <c r="G355" s="421"/>
      <c r="H355" s="421"/>
      <c r="I355" s="422"/>
      <c r="J355" s="422"/>
      <c r="K355" s="422"/>
      <c r="L355" s="422"/>
      <c r="M355" s="422"/>
      <c r="N355" s="422"/>
      <c r="O355" s="422"/>
      <c r="P355" s="422"/>
      <c r="Q355" s="422"/>
      <c r="R355" s="422"/>
      <c r="S355" s="422"/>
      <c r="T355" s="422"/>
      <c r="U355" s="422"/>
      <c r="V355" s="422"/>
      <c r="W355" s="422"/>
      <c r="X355" s="422"/>
      <c r="Y355" s="422"/>
      <c r="Z355" s="422"/>
      <c r="AA355" s="422"/>
      <c r="AB355" s="422"/>
      <c r="AC355" s="422"/>
      <c r="AD355" s="422"/>
      <c r="AE355" s="422"/>
      <c r="AF355" s="422"/>
      <c r="AG355" s="422"/>
      <c r="AH355" s="422"/>
      <c r="AI355" s="422"/>
      <c r="AJ355" s="422"/>
      <c r="AK355" s="422"/>
      <c r="AL355" s="422"/>
      <c r="AM355" s="422"/>
      <c r="AN355" s="422"/>
      <c r="AO355" s="422"/>
      <c r="AP355" s="422"/>
      <c r="AQ355" s="422"/>
      <c r="AR355" s="423"/>
    </row>
    <row r="356" spans="1:44" ht="18" customHeight="1">
      <c r="C356" s="411"/>
      <c r="D356" s="412"/>
      <c r="E356" s="412"/>
      <c r="F356" s="412"/>
      <c r="G356" s="412"/>
      <c r="H356" s="412"/>
      <c r="I356" s="409"/>
      <c r="J356" s="409"/>
      <c r="K356" s="409"/>
      <c r="L356" s="409"/>
      <c r="M356" s="409"/>
      <c r="N356" s="409"/>
      <c r="O356" s="409"/>
      <c r="P356" s="409"/>
      <c r="Q356" s="409"/>
      <c r="R356" s="409"/>
      <c r="S356" s="409"/>
      <c r="T356" s="409"/>
      <c r="U356" s="409"/>
      <c r="V356" s="409"/>
      <c r="W356" s="409"/>
      <c r="X356" s="409"/>
      <c r="Y356" s="409"/>
      <c r="Z356" s="409"/>
      <c r="AA356" s="409"/>
      <c r="AB356" s="409"/>
      <c r="AC356" s="409"/>
      <c r="AD356" s="409"/>
      <c r="AE356" s="409"/>
      <c r="AF356" s="409"/>
      <c r="AG356" s="409"/>
      <c r="AH356" s="409"/>
      <c r="AI356" s="409"/>
      <c r="AJ356" s="409"/>
      <c r="AK356" s="409"/>
      <c r="AL356" s="409"/>
      <c r="AM356" s="409"/>
      <c r="AN356" s="409"/>
      <c r="AO356" s="409"/>
      <c r="AP356" s="409"/>
      <c r="AQ356" s="409"/>
      <c r="AR356" s="410"/>
    </row>
    <row r="357" spans="1:44" ht="18" customHeight="1">
      <c r="C357" s="411"/>
      <c r="D357" s="412"/>
      <c r="E357" s="412"/>
      <c r="F357" s="412"/>
      <c r="G357" s="412"/>
      <c r="H357" s="412"/>
      <c r="I357" s="409"/>
      <c r="J357" s="409"/>
      <c r="K357" s="409"/>
      <c r="L357" s="409"/>
      <c r="M357" s="409"/>
      <c r="N357" s="409"/>
      <c r="O357" s="409"/>
      <c r="P357" s="409"/>
      <c r="Q357" s="409"/>
      <c r="R357" s="409"/>
      <c r="S357" s="409"/>
      <c r="T357" s="409"/>
      <c r="U357" s="409"/>
      <c r="V357" s="409"/>
      <c r="W357" s="409"/>
      <c r="X357" s="409"/>
      <c r="Y357" s="409"/>
      <c r="Z357" s="409"/>
      <c r="AA357" s="409"/>
      <c r="AB357" s="409"/>
      <c r="AC357" s="409"/>
      <c r="AD357" s="409"/>
      <c r="AE357" s="409"/>
      <c r="AF357" s="409"/>
      <c r="AG357" s="409"/>
      <c r="AH357" s="409"/>
      <c r="AI357" s="409"/>
      <c r="AJ357" s="409"/>
      <c r="AK357" s="409"/>
      <c r="AL357" s="409"/>
      <c r="AM357" s="409"/>
      <c r="AN357" s="409"/>
      <c r="AO357" s="409"/>
      <c r="AP357" s="409"/>
      <c r="AQ357" s="409"/>
      <c r="AR357" s="410"/>
    </row>
    <row r="358" spans="1:44" ht="18" customHeight="1">
      <c r="C358" s="411"/>
      <c r="D358" s="412"/>
      <c r="E358" s="412"/>
      <c r="F358" s="412"/>
      <c r="G358" s="412"/>
      <c r="H358" s="412"/>
      <c r="I358" s="409"/>
      <c r="J358" s="409"/>
      <c r="K358" s="409"/>
      <c r="L358" s="409"/>
      <c r="M358" s="409"/>
      <c r="N358" s="409"/>
      <c r="O358" s="409"/>
      <c r="P358" s="409"/>
      <c r="Q358" s="409"/>
      <c r="R358" s="409"/>
      <c r="S358" s="409"/>
      <c r="T358" s="409"/>
      <c r="U358" s="409"/>
      <c r="V358" s="409"/>
      <c r="W358" s="409"/>
      <c r="X358" s="409"/>
      <c r="Y358" s="409"/>
      <c r="Z358" s="409"/>
      <c r="AA358" s="409"/>
      <c r="AB358" s="409"/>
      <c r="AC358" s="409"/>
      <c r="AD358" s="409"/>
      <c r="AE358" s="409"/>
      <c r="AF358" s="409"/>
      <c r="AG358" s="409"/>
      <c r="AH358" s="409"/>
      <c r="AI358" s="409"/>
      <c r="AJ358" s="409"/>
      <c r="AK358" s="409"/>
      <c r="AL358" s="409"/>
      <c r="AM358" s="409"/>
      <c r="AN358" s="409"/>
      <c r="AO358" s="409"/>
      <c r="AP358" s="409"/>
      <c r="AQ358" s="409"/>
      <c r="AR358" s="410"/>
    </row>
    <row r="359" spans="1:44" ht="18" customHeight="1">
      <c r="C359" s="411"/>
      <c r="D359" s="412"/>
      <c r="E359" s="412"/>
      <c r="F359" s="412"/>
      <c r="G359" s="412"/>
      <c r="H359" s="412"/>
      <c r="I359" s="409"/>
      <c r="J359" s="409"/>
      <c r="K359" s="409"/>
      <c r="L359" s="409"/>
      <c r="M359" s="409"/>
      <c r="N359" s="409"/>
      <c r="O359" s="409"/>
      <c r="P359" s="409"/>
      <c r="Q359" s="409"/>
      <c r="R359" s="409"/>
      <c r="S359" s="409"/>
      <c r="T359" s="409"/>
      <c r="U359" s="409"/>
      <c r="V359" s="409"/>
      <c r="W359" s="409"/>
      <c r="X359" s="409"/>
      <c r="Y359" s="409"/>
      <c r="Z359" s="409"/>
      <c r="AA359" s="409"/>
      <c r="AB359" s="409"/>
      <c r="AC359" s="409"/>
      <c r="AD359" s="409"/>
      <c r="AE359" s="409"/>
      <c r="AF359" s="409"/>
      <c r="AG359" s="409"/>
      <c r="AH359" s="409"/>
      <c r="AI359" s="409"/>
      <c r="AJ359" s="409"/>
      <c r="AK359" s="409"/>
      <c r="AL359" s="409"/>
      <c r="AM359" s="409"/>
      <c r="AN359" s="409"/>
      <c r="AO359" s="409"/>
      <c r="AP359" s="409"/>
      <c r="AQ359" s="409"/>
      <c r="AR359" s="410"/>
    </row>
    <row r="360" spans="1:44" ht="18" customHeight="1">
      <c r="C360" s="385"/>
      <c r="D360" s="386"/>
      <c r="E360" s="386"/>
      <c r="F360" s="386"/>
      <c r="G360" s="386"/>
      <c r="H360" s="386"/>
      <c r="I360" s="387"/>
      <c r="J360" s="387"/>
      <c r="K360" s="387"/>
      <c r="L360" s="387"/>
      <c r="M360" s="387"/>
      <c r="N360" s="387"/>
      <c r="O360" s="387"/>
      <c r="P360" s="387"/>
      <c r="Q360" s="387"/>
      <c r="R360" s="387"/>
      <c r="S360" s="387"/>
      <c r="T360" s="387"/>
      <c r="U360" s="387"/>
      <c r="V360" s="387"/>
      <c r="W360" s="387"/>
      <c r="X360" s="387"/>
      <c r="Y360" s="387"/>
      <c r="Z360" s="387"/>
      <c r="AA360" s="387"/>
      <c r="AB360" s="387"/>
      <c r="AC360" s="387"/>
      <c r="AD360" s="387"/>
      <c r="AE360" s="387"/>
      <c r="AF360" s="387"/>
      <c r="AG360" s="387"/>
      <c r="AH360" s="387"/>
      <c r="AI360" s="387"/>
      <c r="AJ360" s="387"/>
      <c r="AK360" s="387"/>
      <c r="AL360" s="387"/>
      <c r="AM360" s="387"/>
      <c r="AN360" s="387"/>
      <c r="AO360" s="387"/>
      <c r="AP360" s="387"/>
      <c r="AQ360" s="387"/>
      <c r="AR360" s="388"/>
    </row>
    <row r="362" spans="1:44" ht="18" customHeight="1">
      <c r="C362" s="389" t="s">
        <v>100</v>
      </c>
      <c r="D362" s="390"/>
      <c r="E362" s="390"/>
      <c r="F362" s="390"/>
      <c r="G362" s="390"/>
      <c r="H362" s="390"/>
      <c r="I362" s="390"/>
      <c r="J362" s="390"/>
      <c r="K362" s="390"/>
      <c r="L362" s="390"/>
      <c r="M362" s="390"/>
      <c r="N362" s="390"/>
      <c r="O362" s="390"/>
      <c r="P362" s="390"/>
      <c r="Q362" s="390"/>
      <c r="R362" s="390"/>
      <c r="S362" s="390"/>
      <c r="T362" s="390"/>
      <c r="U362" s="390"/>
      <c r="V362" s="390"/>
      <c r="W362" s="390"/>
      <c r="X362" s="390"/>
      <c r="Y362" s="390"/>
      <c r="Z362" s="390"/>
      <c r="AA362" s="391"/>
      <c r="AB362" s="392" t="str">
        <f>[4]C.UNIT.SERV.!$E$5</f>
        <v>DATA-BASE:      MAIO/2011/PR</v>
      </c>
      <c r="AC362" s="393"/>
      <c r="AD362" s="393"/>
      <c r="AE362" s="393"/>
      <c r="AF362" s="393"/>
      <c r="AG362" s="393"/>
      <c r="AH362" s="393"/>
      <c r="AI362" s="394"/>
      <c r="AJ362" s="392"/>
      <c r="AK362" s="393"/>
      <c r="AL362" s="393"/>
      <c r="AM362" s="393"/>
      <c r="AN362" s="393"/>
      <c r="AO362" s="393"/>
      <c r="AP362" s="393"/>
      <c r="AQ362" s="393"/>
      <c r="AR362" s="401"/>
    </row>
    <row r="363" spans="1:44" ht="18" customHeight="1">
      <c r="C363" s="404" t="s">
        <v>101</v>
      </c>
      <c r="D363" s="405"/>
      <c r="E363" s="405"/>
      <c r="F363" s="405"/>
      <c r="G363" s="405" t="s">
        <v>283</v>
      </c>
      <c r="H363" s="405"/>
      <c r="I363" s="405"/>
      <c r="J363" s="405"/>
      <c r="K363" s="405"/>
      <c r="L363" s="405"/>
      <c r="M363" s="405"/>
      <c r="N363" s="405"/>
      <c r="O363" s="405"/>
      <c r="P363" s="405"/>
      <c r="Q363" s="405"/>
      <c r="R363" s="405"/>
      <c r="S363" s="405"/>
      <c r="T363" s="405"/>
      <c r="U363" s="405"/>
      <c r="V363" s="405"/>
      <c r="W363" s="405"/>
      <c r="X363" s="405"/>
      <c r="Y363" s="405"/>
      <c r="Z363" s="405"/>
      <c r="AA363" s="406"/>
      <c r="AB363" s="395"/>
      <c r="AC363" s="396"/>
      <c r="AD363" s="396"/>
      <c r="AE363" s="396"/>
      <c r="AF363" s="396"/>
      <c r="AG363" s="396"/>
      <c r="AH363" s="396"/>
      <c r="AI363" s="397"/>
      <c r="AJ363" s="395"/>
      <c r="AK363" s="396"/>
      <c r="AL363" s="396"/>
      <c r="AM363" s="396"/>
      <c r="AN363" s="396"/>
      <c r="AO363" s="396"/>
      <c r="AP363" s="396"/>
      <c r="AQ363" s="396"/>
      <c r="AR363" s="402"/>
    </row>
    <row r="364" spans="1:44" ht="18" customHeight="1">
      <c r="C364" s="404" t="s">
        <v>102</v>
      </c>
      <c r="D364" s="405"/>
      <c r="E364" s="405"/>
      <c r="F364" s="405"/>
      <c r="G364" s="405"/>
      <c r="H364" s="405"/>
      <c r="I364" s="405"/>
      <c r="J364" s="405"/>
      <c r="K364" s="405"/>
      <c r="L364" s="405"/>
      <c r="M364" s="405"/>
      <c r="N364" s="405"/>
      <c r="O364" s="405"/>
      <c r="P364" s="405"/>
      <c r="Q364" s="405"/>
      <c r="R364" s="405"/>
      <c r="S364" s="405"/>
      <c r="T364" s="405"/>
      <c r="U364" s="405"/>
      <c r="V364" s="405"/>
      <c r="W364" s="405"/>
      <c r="X364" s="405"/>
      <c r="Y364" s="405"/>
      <c r="Z364" s="405"/>
      <c r="AA364" s="406"/>
      <c r="AB364" s="395"/>
      <c r="AC364" s="396"/>
      <c r="AD364" s="396"/>
      <c r="AE364" s="396"/>
      <c r="AF364" s="396"/>
      <c r="AG364" s="396"/>
      <c r="AH364" s="396"/>
      <c r="AI364" s="397"/>
      <c r="AJ364" s="395"/>
      <c r="AK364" s="396"/>
      <c r="AL364" s="396"/>
      <c r="AM364" s="396"/>
      <c r="AN364" s="396"/>
      <c r="AO364" s="396"/>
      <c r="AP364" s="396"/>
      <c r="AQ364" s="396"/>
      <c r="AR364" s="402"/>
    </row>
    <row r="365" spans="1:44" ht="18" customHeight="1">
      <c r="C365" s="407"/>
      <c r="D365" s="408"/>
      <c r="E365" s="408"/>
      <c r="F365" s="408"/>
      <c r="G365" s="408"/>
      <c r="H365" s="408"/>
      <c r="I365" s="408"/>
      <c r="J365" s="408"/>
      <c r="K365" s="408"/>
      <c r="L365" s="408"/>
      <c r="M365" s="408"/>
      <c r="N365" s="408"/>
      <c r="O365" s="408"/>
      <c r="P365" s="408"/>
      <c r="Q365" s="408"/>
      <c r="R365" s="408"/>
      <c r="S365" s="408"/>
      <c r="T365" s="408"/>
      <c r="U365" s="408"/>
      <c r="V365" s="408"/>
      <c r="W365" s="408"/>
      <c r="X365" s="408"/>
      <c r="Y365" s="408"/>
      <c r="Z365" s="408"/>
      <c r="AA365" s="408"/>
      <c r="AB365" s="398"/>
      <c r="AC365" s="399"/>
      <c r="AD365" s="399"/>
      <c r="AE365" s="399"/>
      <c r="AF365" s="399"/>
      <c r="AG365" s="399"/>
      <c r="AH365" s="399"/>
      <c r="AI365" s="400"/>
      <c r="AJ365" s="398"/>
      <c r="AK365" s="399"/>
      <c r="AL365" s="399"/>
      <c r="AM365" s="399"/>
      <c r="AN365" s="399"/>
      <c r="AO365" s="399"/>
      <c r="AP365" s="399"/>
      <c r="AQ365" s="399"/>
      <c r="AR365" s="403"/>
    </row>
    <row r="367" spans="1:44" ht="18" customHeight="1">
      <c r="C367" s="850" t="s">
        <v>64</v>
      </c>
      <c r="D367" s="851"/>
      <c r="E367" s="851"/>
      <c r="F367" s="851"/>
      <c r="G367" s="851"/>
      <c r="H367" s="851"/>
      <c r="I367" s="851"/>
      <c r="J367" s="851"/>
      <c r="K367" s="851"/>
      <c r="L367" s="851"/>
      <c r="M367" s="851"/>
      <c r="N367" s="851"/>
      <c r="O367" s="851"/>
      <c r="P367" s="851"/>
      <c r="Q367" s="851"/>
      <c r="R367" s="851"/>
      <c r="S367" s="851"/>
      <c r="T367" s="851"/>
      <c r="U367" s="851"/>
      <c r="V367" s="851"/>
      <c r="W367" s="851"/>
      <c r="X367" s="851"/>
      <c r="Y367" s="851"/>
      <c r="Z367" s="851"/>
      <c r="AA367" s="851"/>
      <c r="AB367" s="851"/>
      <c r="AC367" s="851"/>
      <c r="AD367" s="851"/>
      <c r="AE367" s="851"/>
      <c r="AF367" s="851"/>
      <c r="AG367" s="851"/>
      <c r="AH367" s="851"/>
      <c r="AI367" s="851"/>
      <c r="AJ367" s="851"/>
      <c r="AK367" s="851"/>
      <c r="AL367" s="851"/>
      <c r="AM367" s="851"/>
      <c r="AN367" s="851"/>
      <c r="AO367" s="851"/>
      <c r="AP367" s="851"/>
      <c r="AQ367" s="851"/>
      <c r="AR367" s="852"/>
    </row>
    <row r="368" spans="1:44" ht="18" customHeight="1">
      <c r="C368" s="853"/>
      <c r="D368" s="854"/>
      <c r="E368" s="854"/>
      <c r="F368" s="854"/>
      <c r="G368" s="854"/>
      <c r="H368" s="854"/>
      <c r="I368" s="854"/>
      <c r="J368" s="854"/>
      <c r="K368" s="854"/>
      <c r="L368" s="854"/>
      <c r="M368" s="854"/>
      <c r="N368" s="854"/>
      <c r="O368" s="854"/>
      <c r="P368" s="854"/>
      <c r="Q368" s="854"/>
      <c r="R368" s="854"/>
      <c r="S368" s="854"/>
      <c r="T368" s="854"/>
      <c r="U368" s="854"/>
      <c r="V368" s="854"/>
      <c r="W368" s="854"/>
      <c r="X368" s="854"/>
      <c r="Y368" s="854"/>
      <c r="Z368" s="854"/>
      <c r="AA368" s="854"/>
      <c r="AB368" s="854"/>
      <c r="AC368" s="854"/>
      <c r="AD368" s="854"/>
      <c r="AE368" s="854"/>
      <c r="AF368" s="854"/>
      <c r="AG368" s="854"/>
      <c r="AH368" s="854"/>
      <c r="AI368" s="854"/>
      <c r="AJ368" s="854"/>
      <c r="AK368" s="854"/>
      <c r="AL368" s="854"/>
      <c r="AM368" s="854"/>
      <c r="AN368" s="854"/>
      <c r="AO368" s="854"/>
      <c r="AP368" s="854"/>
      <c r="AQ368" s="854"/>
      <c r="AR368" s="855"/>
    </row>
    <row r="369" spans="3:44" ht="18" customHeight="1">
      <c r="C369" s="856" t="s">
        <v>65</v>
      </c>
      <c r="D369" s="857"/>
      <c r="E369" s="857"/>
      <c r="F369" s="857"/>
      <c r="G369" s="860" t="s">
        <v>662</v>
      </c>
      <c r="H369" s="860"/>
      <c r="I369" s="860"/>
      <c r="J369" s="861"/>
      <c r="K369" s="864" t="s">
        <v>66</v>
      </c>
      <c r="L369" s="865"/>
      <c r="M369" s="865"/>
      <c r="N369" s="865"/>
      <c r="O369" s="522" t="s">
        <v>702</v>
      </c>
      <c r="P369" s="523"/>
      <c r="Q369" s="523"/>
      <c r="R369" s="523"/>
      <c r="S369" s="523"/>
      <c r="T369" s="523"/>
      <c r="U369" s="523"/>
      <c r="V369" s="523"/>
      <c r="W369" s="523"/>
      <c r="X369" s="523"/>
      <c r="Y369" s="523"/>
      <c r="Z369" s="523"/>
      <c r="AA369" s="523"/>
      <c r="AB369" s="523"/>
      <c r="AC369" s="523"/>
      <c r="AD369" s="523"/>
      <c r="AE369" s="523"/>
      <c r="AF369" s="523"/>
      <c r="AG369" s="523"/>
      <c r="AH369" s="523"/>
      <c r="AI369" s="523"/>
      <c r="AJ369" s="523"/>
      <c r="AK369" s="523"/>
      <c r="AL369" s="864" t="s">
        <v>67</v>
      </c>
      <c r="AM369" s="865"/>
      <c r="AN369" s="865"/>
      <c r="AO369" s="865"/>
      <c r="AP369" s="843" t="s">
        <v>246</v>
      </c>
      <c r="AQ369" s="843"/>
      <c r="AR369" s="844"/>
    </row>
    <row r="370" spans="3:44" ht="18" customHeight="1">
      <c r="C370" s="858"/>
      <c r="D370" s="859"/>
      <c r="E370" s="859"/>
      <c r="F370" s="859"/>
      <c r="G370" s="862"/>
      <c r="H370" s="862"/>
      <c r="I370" s="862"/>
      <c r="J370" s="863"/>
      <c r="K370" s="866"/>
      <c r="L370" s="867"/>
      <c r="M370" s="867"/>
      <c r="N370" s="867"/>
      <c r="O370" s="524"/>
      <c r="P370" s="525"/>
      <c r="Q370" s="525"/>
      <c r="R370" s="525"/>
      <c r="S370" s="525"/>
      <c r="T370" s="525"/>
      <c r="U370" s="525"/>
      <c r="V370" s="525"/>
      <c r="W370" s="525"/>
      <c r="X370" s="525"/>
      <c r="Y370" s="525"/>
      <c r="Z370" s="525"/>
      <c r="AA370" s="525"/>
      <c r="AB370" s="525"/>
      <c r="AC370" s="525"/>
      <c r="AD370" s="525"/>
      <c r="AE370" s="525"/>
      <c r="AF370" s="525"/>
      <c r="AG370" s="525"/>
      <c r="AH370" s="525"/>
      <c r="AI370" s="525"/>
      <c r="AJ370" s="525"/>
      <c r="AK370" s="525"/>
      <c r="AL370" s="866"/>
      <c r="AM370" s="867"/>
      <c r="AN370" s="867"/>
      <c r="AO370" s="867"/>
      <c r="AP370" s="845"/>
      <c r="AQ370" s="845"/>
      <c r="AR370" s="846"/>
    </row>
    <row r="372" spans="3:44" ht="18" customHeight="1">
      <c r="C372" s="794" t="s">
        <v>43</v>
      </c>
      <c r="D372" s="774"/>
      <c r="E372" s="775"/>
      <c r="F372" s="773" t="s">
        <v>68</v>
      </c>
      <c r="G372" s="774"/>
      <c r="H372" s="774"/>
      <c r="I372" s="774"/>
      <c r="J372" s="774"/>
      <c r="K372" s="774"/>
      <c r="L372" s="774"/>
      <c r="M372" s="774"/>
      <c r="N372" s="774"/>
      <c r="O372" s="774"/>
      <c r="P372" s="774"/>
      <c r="Q372" s="774"/>
      <c r="R372" s="774"/>
      <c r="S372" s="774"/>
      <c r="T372" s="774"/>
      <c r="U372" s="775"/>
      <c r="V372" s="773" t="s">
        <v>249</v>
      </c>
      <c r="W372" s="774"/>
      <c r="X372" s="775"/>
      <c r="Y372" s="847" t="s">
        <v>69</v>
      </c>
      <c r="Z372" s="848"/>
      <c r="AA372" s="848"/>
      <c r="AB372" s="848"/>
      <c r="AC372" s="848"/>
      <c r="AD372" s="848"/>
      <c r="AE372" s="848"/>
      <c r="AF372" s="849"/>
      <c r="AG372" s="847" t="s">
        <v>70</v>
      </c>
      <c r="AH372" s="848"/>
      <c r="AI372" s="848"/>
      <c r="AJ372" s="848"/>
      <c r="AK372" s="848"/>
      <c r="AL372" s="848"/>
      <c r="AM372" s="848"/>
      <c r="AN372" s="849"/>
      <c r="AO372" s="773" t="s">
        <v>71</v>
      </c>
      <c r="AP372" s="774"/>
      <c r="AQ372" s="774"/>
      <c r="AR372" s="779"/>
    </row>
    <row r="373" spans="3:44" ht="18" customHeight="1">
      <c r="C373" s="795"/>
      <c r="D373" s="777"/>
      <c r="E373" s="778"/>
      <c r="F373" s="776"/>
      <c r="G373" s="777"/>
      <c r="H373" s="777"/>
      <c r="I373" s="777"/>
      <c r="J373" s="777"/>
      <c r="K373" s="777"/>
      <c r="L373" s="777"/>
      <c r="M373" s="777"/>
      <c r="N373" s="777"/>
      <c r="O373" s="777"/>
      <c r="P373" s="777"/>
      <c r="Q373" s="777"/>
      <c r="R373" s="777"/>
      <c r="S373" s="777"/>
      <c r="T373" s="777"/>
      <c r="U373" s="778"/>
      <c r="V373" s="776"/>
      <c r="W373" s="777"/>
      <c r="X373" s="778"/>
      <c r="Y373" s="834" t="s">
        <v>72</v>
      </c>
      <c r="Z373" s="835"/>
      <c r="AA373" s="835"/>
      <c r="AB373" s="836"/>
      <c r="AC373" s="834" t="s">
        <v>73</v>
      </c>
      <c r="AD373" s="835"/>
      <c r="AE373" s="835"/>
      <c r="AF373" s="836"/>
      <c r="AG373" s="834" t="s">
        <v>72</v>
      </c>
      <c r="AH373" s="835"/>
      <c r="AI373" s="835"/>
      <c r="AJ373" s="836"/>
      <c r="AK373" s="834" t="s">
        <v>73</v>
      </c>
      <c r="AL373" s="835"/>
      <c r="AM373" s="835"/>
      <c r="AN373" s="836"/>
      <c r="AO373" s="776"/>
      <c r="AP373" s="777"/>
      <c r="AQ373" s="777"/>
      <c r="AR373" s="780"/>
    </row>
    <row r="374" spans="3:44" ht="18" customHeight="1">
      <c r="C374" s="781" t="s">
        <v>1379</v>
      </c>
      <c r="D374" s="782"/>
      <c r="E374" s="783"/>
      <c r="F374" s="493" t="s">
        <v>468</v>
      </c>
      <c r="G374" s="493"/>
      <c r="H374" s="493"/>
      <c r="I374" s="493"/>
      <c r="J374" s="493"/>
      <c r="K374" s="493"/>
      <c r="L374" s="493"/>
      <c r="M374" s="493"/>
      <c r="N374" s="493"/>
      <c r="O374" s="493"/>
      <c r="P374" s="493"/>
      <c r="Q374" s="493"/>
      <c r="R374" s="493"/>
      <c r="S374" s="493"/>
      <c r="T374" s="493"/>
      <c r="U374" s="493"/>
      <c r="V374" s="837">
        <v>1</v>
      </c>
      <c r="W374" s="838"/>
      <c r="X374" s="839"/>
      <c r="Y374" s="837">
        <v>1</v>
      </c>
      <c r="Z374" s="838"/>
      <c r="AA374" s="838"/>
      <c r="AB374" s="839"/>
      <c r="AC374" s="868">
        <f>1-Y374</f>
        <v>0</v>
      </c>
      <c r="AD374" s="869"/>
      <c r="AE374" s="869"/>
      <c r="AF374" s="870"/>
      <c r="AG374" s="491">
        <f>VLOOKUP(C374,[4]EQUIPAMENTOS!A$1:D$65536,3,FALSE)</f>
        <v>3.1082000000000001</v>
      </c>
      <c r="AH374" s="491"/>
      <c r="AI374" s="491"/>
      <c r="AJ374" s="491"/>
      <c r="AK374" s="491">
        <f>VLOOKUP(C374,[4]EQUIPAMENTOS!A$1:D$65536,4,FALSE)</f>
        <v>0</v>
      </c>
      <c r="AL374" s="491"/>
      <c r="AM374" s="491"/>
      <c r="AN374" s="491"/>
      <c r="AO374" s="491">
        <f>ROUND((Y374*AG374+AC374*AK374)*V374,2)</f>
        <v>3.11</v>
      </c>
      <c r="AP374" s="491"/>
      <c r="AQ374" s="491"/>
      <c r="AR374" s="492"/>
    </row>
    <row r="375" spans="3:44" ht="18" customHeight="1">
      <c r="C375" s="758"/>
      <c r="D375" s="759"/>
      <c r="E375" s="760"/>
      <c r="F375" s="493"/>
      <c r="G375" s="493"/>
      <c r="H375" s="493"/>
      <c r="I375" s="493"/>
      <c r="J375" s="493"/>
      <c r="K375" s="493"/>
      <c r="L375" s="493"/>
      <c r="M375" s="493"/>
      <c r="N375" s="493"/>
      <c r="O375" s="493"/>
      <c r="P375" s="493"/>
      <c r="Q375" s="493"/>
      <c r="R375" s="493"/>
      <c r="S375" s="493"/>
      <c r="T375" s="493"/>
      <c r="U375" s="493"/>
      <c r="V375" s="466"/>
      <c r="W375" s="467"/>
      <c r="X375" s="468"/>
      <c r="Y375" s="466"/>
      <c r="Z375" s="467"/>
      <c r="AA375" s="467"/>
      <c r="AB375" s="468"/>
      <c r="AC375" s="828"/>
      <c r="AD375" s="829"/>
      <c r="AE375" s="829"/>
      <c r="AF375" s="830"/>
      <c r="AG375" s="491"/>
      <c r="AH375" s="491"/>
      <c r="AI375" s="491"/>
      <c r="AJ375" s="491"/>
      <c r="AK375" s="491"/>
      <c r="AL375" s="491"/>
      <c r="AM375" s="491"/>
      <c r="AN375" s="491"/>
      <c r="AO375" s="491"/>
      <c r="AP375" s="491"/>
      <c r="AQ375" s="491"/>
      <c r="AR375" s="492"/>
    </row>
    <row r="376" spans="3:44" ht="18" customHeight="1">
      <c r="C376" s="758"/>
      <c r="D376" s="759"/>
      <c r="E376" s="760"/>
      <c r="F376" s="493"/>
      <c r="G376" s="493"/>
      <c r="H376" s="493"/>
      <c r="I376" s="493"/>
      <c r="J376" s="493"/>
      <c r="K376" s="493"/>
      <c r="L376" s="493"/>
      <c r="M376" s="493"/>
      <c r="N376" s="493"/>
      <c r="O376" s="493"/>
      <c r="P376" s="493"/>
      <c r="Q376" s="493"/>
      <c r="R376" s="493"/>
      <c r="S376" s="493"/>
      <c r="T376" s="493"/>
      <c r="U376" s="493"/>
      <c r="V376" s="466"/>
      <c r="W376" s="467"/>
      <c r="X376" s="468"/>
      <c r="Y376" s="466"/>
      <c r="Z376" s="467"/>
      <c r="AA376" s="467"/>
      <c r="AB376" s="468"/>
      <c r="AC376" s="828"/>
      <c r="AD376" s="829"/>
      <c r="AE376" s="829"/>
      <c r="AF376" s="830"/>
      <c r="AG376" s="491"/>
      <c r="AH376" s="491"/>
      <c r="AI376" s="491"/>
      <c r="AJ376" s="491"/>
      <c r="AK376" s="491"/>
      <c r="AL376" s="491"/>
      <c r="AM376" s="491"/>
      <c r="AN376" s="491"/>
      <c r="AO376" s="491"/>
      <c r="AP376" s="491"/>
      <c r="AQ376" s="491"/>
      <c r="AR376" s="492"/>
    </row>
    <row r="377" spans="3:44" ht="18" customHeight="1">
      <c r="C377" s="758"/>
      <c r="D377" s="759"/>
      <c r="E377" s="760"/>
      <c r="F377" s="493"/>
      <c r="G377" s="493"/>
      <c r="H377" s="493"/>
      <c r="I377" s="493"/>
      <c r="J377" s="493"/>
      <c r="K377" s="493"/>
      <c r="L377" s="493"/>
      <c r="M377" s="493"/>
      <c r="N377" s="493"/>
      <c r="O377" s="493"/>
      <c r="P377" s="493"/>
      <c r="Q377" s="493"/>
      <c r="R377" s="493"/>
      <c r="S377" s="493"/>
      <c r="T377" s="493"/>
      <c r="U377" s="493"/>
      <c r="V377" s="466"/>
      <c r="W377" s="467"/>
      <c r="X377" s="468"/>
      <c r="Y377" s="466"/>
      <c r="Z377" s="467"/>
      <c r="AA377" s="467"/>
      <c r="AB377" s="468"/>
      <c r="AC377" s="828"/>
      <c r="AD377" s="829"/>
      <c r="AE377" s="829"/>
      <c r="AF377" s="830"/>
      <c r="AG377" s="491"/>
      <c r="AH377" s="491"/>
      <c r="AI377" s="491"/>
      <c r="AJ377" s="491"/>
      <c r="AK377" s="491"/>
      <c r="AL377" s="491"/>
      <c r="AM377" s="491"/>
      <c r="AN377" s="491"/>
      <c r="AO377" s="491"/>
      <c r="AP377" s="491"/>
      <c r="AQ377" s="491"/>
      <c r="AR377" s="492"/>
    </row>
    <row r="378" spans="3:44" ht="18" customHeight="1">
      <c r="C378" s="758"/>
      <c r="D378" s="759"/>
      <c r="E378" s="760"/>
      <c r="F378" s="493"/>
      <c r="G378" s="493"/>
      <c r="H378" s="493"/>
      <c r="I378" s="493"/>
      <c r="J378" s="493"/>
      <c r="K378" s="493"/>
      <c r="L378" s="493"/>
      <c r="M378" s="493"/>
      <c r="N378" s="493"/>
      <c r="O378" s="493"/>
      <c r="P378" s="493"/>
      <c r="Q378" s="493"/>
      <c r="R378" s="493"/>
      <c r="S378" s="493"/>
      <c r="T378" s="493"/>
      <c r="U378" s="493"/>
      <c r="V378" s="466"/>
      <c r="W378" s="467"/>
      <c r="X378" s="468"/>
      <c r="Y378" s="466"/>
      <c r="Z378" s="467"/>
      <c r="AA378" s="467"/>
      <c r="AB378" s="468"/>
      <c r="AC378" s="828"/>
      <c r="AD378" s="829"/>
      <c r="AE378" s="829"/>
      <c r="AF378" s="830"/>
      <c r="AG378" s="491"/>
      <c r="AH378" s="491"/>
      <c r="AI378" s="491"/>
      <c r="AJ378" s="491"/>
      <c r="AK378" s="491"/>
      <c r="AL378" s="491"/>
      <c r="AM378" s="491"/>
      <c r="AN378" s="491"/>
      <c r="AO378" s="491"/>
      <c r="AP378" s="491"/>
      <c r="AQ378" s="491"/>
      <c r="AR378" s="492"/>
    </row>
    <row r="379" spans="3:44" ht="18" customHeight="1">
      <c r="C379" s="758"/>
      <c r="D379" s="759"/>
      <c r="E379" s="760"/>
      <c r="F379" s="493"/>
      <c r="G379" s="493"/>
      <c r="H379" s="493"/>
      <c r="I379" s="493"/>
      <c r="J379" s="493"/>
      <c r="K379" s="493"/>
      <c r="L379" s="493"/>
      <c r="M379" s="493"/>
      <c r="N379" s="493"/>
      <c r="O379" s="493"/>
      <c r="P379" s="493"/>
      <c r="Q379" s="493"/>
      <c r="R379" s="493"/>
      <c r="S379" s="493"/>
      <c r="T379" s="493"/>
      <c r="U379" s="493"/>
      <c r="V379" s="466"/>
      <c r="W379" s="467"/>
      <c r="X379" s="468"/>
      <c r="Y379" s="466"/>
      <c r="Z379" s="467"/>
      <c r="AA379" s="467"/>
      <c r="AB379" s="468"/>
      <c r="AC379" s="828"/>
      <c r="AD379" s="829"/>
      <c r="AE379" s="829"/>
      <c r="AF379" s="830"/>
      <c r="AG379" s="491"/>
      <c r="AH379" s="491"/>
      <c r="AI379" s="491"/>
      <c r="AJ379" s="491"/>
      <c r="AK379" s="491"/>
      <c r="AL379" s="491"/>
      <c r="AM379" s="491"/>
      <c r="AN379" s="491"/>
      <c r="AO379" s="491"/>
      <c r="AP379" s="491"/>
      <c r="AQ379" s="491"/>
      <c r="AR379" s="492"/>
    </row>
    <row r="380" spans="3:44" ht="18" customHeight="1">
      <c r="C380" s="758"/>
      <c r="D380" s="759"/>
      <c r="E380" s="760"/>
      <c r="F380" s="796"/>
      <c r="G380" s="797"/>
      <c r="H380" s="797"/>
      <c r="I380" s="797"/>
      <c r="J380" s="797"/>
      <c r="K380" s="797"/>
      <c r="L380" s="797"/>
      <c r="M380" s="797"/>
      <c r="N380" s="797"/>
      <c r="O380" s="797"/>
      <c r="P380" s="797"/>
      <c r="Q380" s="797"/>
      <c r="R380" s="797"/>
      <c r="S380" s="797"/>
      <c r="T380" s="797"/>
      <c r="U380" s="798"/>
      <c r="V380" s="466"/>
      <c r="W380" s="467"/>
      <c r="X380" s="468"/>
      <c r="Y380" s="466"/>
      <c r="Z380" s="467"/>
      <c r="AA380" s="467"/>
      <c r="AB380" s="468"/>
      <c r="AC380" s="828"/>
      <c r="AD380" s="829"/>
      <c r="AE380" s="829"/>
      <c r="AF380" s="830"/>
      <c r="AG380" s="466"/>
      <c r="AH380" s="467"/>
      <c r="AI380" s="467"/>
      <c r="AJ380" s="468"/>
      <c r="AK380" s="466"/>
      <c r="AL380" s="467"/>
      <c r="AM380" s="467"/>
      <c r="AN380" s="468"/>
      <c r="AO380" s="466"/>
      <c r="AP380" s="467"/>
      <c r="AQ380" s="467"/>
      <c r="AR380" s="823"/>
    </row>
    <row r="381" spans="3:44" ht="18" customHeight="1">
      <c r="C381" s="758"/>
      <c r="D381" s="759"/>
      <c r="E381" s="760"/>
      <c r="F381" s="796"/>
      <c r="G381" s="797"/>
      <c r="H381" s="797"/>
      <c r="I381" s="797"/>
      <c r="J381" s="797"/>
      <c r="K381" s="797"/>
      <c r="L381" s="797"/>
      <c r="M381" s="797"/>
      <c r="N381" s="797"/>
      <c r="O381" s="797"/>
      <c r="P381" s="797"/>
      <c r="Q381" s="797"/>
      <c r="R381" s="797"/>
      <c r="S381" s="797"/>
      <c r="T381" s="797"/>
      <c r="U381" s="798"/>
      <c r="V381" s="466"/>
      <c r="W381" s="467"/>
      <c r="X381" s="468"/>
      <c r="Y381" s="466"/>
      <c r="Z381" s="467"/>
      <c r="AA381" s="467"/>
      <c r="AB381" s="468"/>
      <c r="AC381" s="828"/>
      <c r="AD381" s="829"/>
      <c r="AE381" s="829"/>
      <c r="AF381" s="830"/>
      <c r="AG381" s="466"/>
      <c r="AH381" s="467"/>
      <c r="AI381" s="467"/>
      <c r="AJ381" s="468"/>
      <c r="AK381" s="466"/>
      <c r="AL381" s="467"/>
      <c r="AM381" s="467"/>
      <c r="AN381" s="468"/>
      <c r="AO381" s="466"/>
      <c r="AP381" s="467"/>
      <c r="AQ381" s="467"/>
      <c r="AR381" s="823"/>
    </row>
    <row r="382" spans="3:44" ht="18" customHeight="1">
      <c r="C382" s="743"/>
      <c r="D382" s="744"/>
      <c r="E382" s="744"/>
      <c r="F382" s="744"/>
      <c r="G382" s="744"/>
      <c r="H382" s="744"/>
      <c r="I382" s="744"/>
      <c r="J382" s="744"/>
      <c r="K382" s="744"/>
      <c r="L382" s="744"/>
      <c r="M382" s="744"/>
      <c r="N382" s="744"/>
      <c r="O382" s="744"/>
      <c r="P382" s="744"/>
      <c r="Q382" s="744"/>
      <c r="R382" s="744"/>
      <c r="S382" s="744"/>
      <c r="T382" s="744"/>
      <c r="U382" s="744"/>
      <c r="V382" s="744"/>
      <c r="W382" s="744"/>
      <c r="X382" s="824"/>
      <c r="Y382" s="825" t="s">
        <v>74</v>
      </c>
      <c r="Z382" s="826"/>
      <c r="AA382" s="826"/>
      <c r="AB382" s="826"/>
      <c r="AC382" s="826"/>
      <c r="AD382" s="826"/>
      <c r="AE382" s="826"/>
      <c r="AF382" s="826"/>
      <c r="AG382" s="826"/>
      <c r="AH382" s="826"/>
      <c r="AI382" s="826"/>
      <c r="AJ382" s="826"/>
      <c r="AK382" s="826"/>
      <c r="AL382" s="826"/>
      <c r="AM382" s="826"/>
      <c r="AN382" s="827"/>
      <c r="AO382" s="477">
        <f>SUM(AO374:AR381)</f>
        <v>3.11</v>
      </c>
      <c r="AP382" s="746"/>
      <c r="AQ382" s="746"/>
      <c r="AR382" s="747"/>
    </row>
    <row r="384" spans="3:44" ht="18" customHeight="1">
      <c r="C384" s="794" t="s">
        <v>43</v>
      </c>
      <c r="D384" s="774"/>
      <c r="E384" s="775"/>
      <c r="F384" s="773" t="s">
        <v>75</v>
      </c>
      <c r="G384" s="774"/>
      <c r="H384" s="774"/>
      <c r="I384" s="774"/>
      <c r="J384" s="774"/>
      <c r="K384" s="774"/>
      <c r="L384" s="774"/>
      <c r="M384" s="774"/>
      <c r="N384" s="774"/>
      <c r="O384" s="774"/>
      <c r="P384" s="774"/>
      <c r="Q384" s="774"/>
      <c r="R384" s="774"/>
      <c r="S384" s="774"/>
      <c r="T384" s="774"/>
      <c r="U384" s="774"/>
      <c r="V384" s="774"/>
      <c r="W384" s="774"/>
      <c r="X384" s="774"/>
      <c r="Y384" s="774"/>
      <c r="Z384" s="774"/>
      <c r="AA384" s="774"/>
      <c r="AB384" s="775"/>
      <c r="AC384" s="773" t="s">
        <v>76</v>
      </c>
      <c r="AD384" s="774"/>
      <c r="AE384" s="774"/>
      <c r="AF384" s="775"/>
      <c r="AG384" s="773" t="s">
        <v>249</v>
      </c>
      <c r="AH384" s="774"/>
      <c r="AI384" s="774"/>
      <c r="AJ384" s="775"/>
      <c r="AK384" s="773" t="s">
        <v>77</v>
      </c>
      <c r="AL384" s="774"/>
      <c r="AM384" s="774"/>
      <c r="AN384" s="775"/>
      <c r="AO384" s="773" t="s">
        <v>71</v>
      </c>
      <c r="AP384" s="774"/>
      <c r="AQ384" s="774"/>
      <c r="AR384" s="779"/>
    </row>
    <row r="385" spans="3:44" ht="18" customHeight="1">
      <c r="C385" s="795"/>
      <c r="D385" s="777"/>
      <c r="E385" s="778"/>
      <c r="F385" s="776"/>
      <c r="G385" s="777"/>
      <c r="H385" s="777"/>
      <c r="I385" s="777"/>
      <c r="J385" s="777"/>
      <c r="K385" s="777"/>
      <c r="L385" s="777"/>
      <c r="M385" s="777"/>
      <c r="N385" s="777"/>
      <c r="O385" s="777"/>
      <c r="P385" s="777"/>
      <c r="Q385" s="777"/>
      <c r="R385" s="777"/>
      <c r="S385" s="777"/>
      <c r="T385" s="777"/>
      <c r="U385" s="777"/>
      <c r="V385" s="777"/>
      <c r="W385" s="777"/>
      <c r="X385" s="777"/>
      <c r="Y385" s="777"/>
      <c r="Z385" s="777"/>
      <c r="AA385" s="777"/>
      <c r="AB385" s="778"/>
      <c r="AC385" s="776"/>
      <c r="AD385" s="777"/>
      <c r="AE385" s="777"/>
      <c r="AF385" s="778"/>
      <c r="AG385" s="776"/>
      <c r="AH385" s="777"/>
      <c r="AI385" s="777"/>
      <c r="AJ385" s="778"/>
      <c r="AK385" s="776"/>
      <c r="AL385" s="777"/>
      <c r="AM385" s="777"/>
      <c r="AN385" s="778"/>
      <c r="AO385" s="776"/>
      <c r="AP385" s="777"/>
      <c r="AQ385" s="777"/>
      <c r="AR385" s="780"/>
    </row>
    <row r="386" spans="3:44" ht="18" customHeight="1">
      <c r="C386" s="781" t="s">
        <v>940</v>
      </c>
      <c r="D386" s="782"/>
      <c r="E386" s="783"/>
      <c r="F386" s="493" t="s">
        <v>105</v>
      </c>
      <c r="G386" s="493"/>
      <c r="H386" s="493"/>
      <c r="I386" s="493"/>
      <c r="J386" s="493"/>
      <c r="K386" s="493"/>
      <c r="L386" s="493"/>
      <c r="M386" s="493"/>
      <c r="N386" s="493"/>
      <c r="O386" s="493"/>
      <c r="P386" s="493"/>
      <c r="Q386" s="493"/>
      <c r="R386" s="493"/>
      <c r="S386" s="493"/>
      <c r="T386" s="493"/>
      <c r="U386" s="493"/>
      <c r="V386" s="493"/>
      <c r="W386" s="493"/>
      <c r="X386" s="493"/>
      <c r="Y386" s="493"/>
      <c r="Z386" s="493"/>
      <c r="AA386" s="493"/>
      <c r="AB386" s="493"/>
      <c r="AC386" s="770"/>
      <c r="AD386" s="771"/>
      <c r="AE386" s="771"/>
      <c r="AF386" s="790"/>
      <c r="AG386" s="770">
        <v>1</v>
      </c>
      <c r="AH386" s="771"/>
      <c r="AI386" s="771"/>
      <c r="AJ386" s="790"/>
      <c r="AK386" s="449">
        <f>VLOOKUP(C386,[4]MÃODEOBRA!A$1:D$65536,4,FALSE)</f>
        <v>22.98488</v>
      </c>
      <c r="AL386" s="449"/>
      <c r="AM386" s="449"/>
      <c r="AN386" s="449"/>
      <c r="AO386" s="491">
        <f>ROUND(AG386*AK386,2)</f>
        <v>22.98</v>
      </c>
      <c r="AP386" s="491"/>
      <c r="AQ386" s="491"/>
      <c r="AR386" s="492"/>
    </row>
    <row r="387" spans="3:44" ht="18" customHeight="1">
      <c r="C387" s="758" t="s">
        <v>1380</v>
      </c>
      <c r="D387" s="759"/>
      <c r="E387" s="760"/>
      <c r="F387" s="493" t="s">
        <v>469</v>
      </c>
      <c r="G387" s="493"/>
      <c r="H387" s="493"/>
      <c r="I387" s="493"/>
      <c r="J387" s="493"/>
      <c r="K387" s="493"/>
      <c r="L387" s="493"/>
      <c r="M387" s="493"/>
      <c r="N387" s="493"/>
      <c r="O387" s="493"/>
      <c r="P387" s="493"/>
      <c r="Q387" s="493"/>
      <c r="R387" s="493"/>
      <c r="S387" s="493"/>
      <c r="T387" s="493"/>
      <c r="U387" s="493"/>
      <c r="V387" s="493"/>
      <c r="W387" s="493"/>
      <c r="X387" s="493"/>
      <c r="Y387" s="493"/>
      <c r="Z387" s="493"/>
      <c r="AA387" s="493"/>
      <c r="AB387" s="493"/>
      <c r="AC387" s="740"/>
      <c r="AD387" s="741"/>
      <c r="AE387" s="741"/>
      <c r="AF387" s="757"/>
      <c r="AG387" s="740">
        <v>1</v>
      </c>
      <c r="AH387" s="741"/>
      <c r="AI387" s="741"/>
      <c r="AJ387" s="757"/>
      <c r="AK387" s="449">
        <f>VLOOKUP(C387,[4]MÃODEOBRA!A$1:D$65536,4,FALSE)</f>
        <v>11.156079999999999</v>
      </c>
      <c r="AL387" s="449"/>
      <c r="AM387" s="449"/>
      <c r="AN387" s="449"/>
      <c r="AO387" s="491">
        <f>ROUND(AG387*AK387,2)</f>
        <v>11.16</v>
      </c>
      <c r="AP387" s="491"/>
      <c r="AQ387" s="491"/>
      <c r="AR387" s="492"/>
    </row>
    <row r="388" spans="3:44" ht="18" customHeight="1">
      <c r="C388" s="758" t="s">
        <v>943</v>
      </c>
      <c r="D388" s="759"/>
      <c r="E388" s="760"/>
      <c r="F388" s="796" t="s">
        <v>128</v>
      </c>
      <c r="G388" s="797"/>
      <c r="H388" s="797"/>
      <c r="I388" s="797"/>
      <c r="J388" s="797"/>
      <c r="K388" s="797"/>
      <c r="L388" s="797"/>
      <c r="M388" s="797"/>
      <c r="N388" s="797"/>
      <c r="O388" s="797"/>
      <c r="P388" s="797"/>
      <c r="Q388" s="797"/>
      <c r="R388" s="797"/>
      <c r="S388" s="797"/>
      <c r="T388" s="797"/>
      <c r="U388" s="797"/>
      <c r="V388" s="797"/>
      <c r="W388" s="797"/>
      <c r="X388" s="797"/>
      <c r="Y388" s="797"/>
      <c r="Z388" s="797"/>
      <c r="AA388" s="797"/>
      <c r="AB388" s="798"/>
      <c r="AC388" s="740"/>
      <c r="AD388" s="741"/>
      <c r="AE388" s="741"/>
      <c r="AF388" s="757"/>
      <c r="AG388" s="740">
        <v>2</v>
      </c>
      <c r="AH388" s="741"/>
      <c r="AI388" s="741"/>
      <c r="AJ388" s="757"/>
      <c r="AK388" s="449">
        <f>VLOOKUP(C388,[4]MÃODEOBRA!A$1:D$65536,4,FALSE)</f>
        <v>8.6333500000000001</v>
      </c>
      <c r="AL388" s="449"/>
      <c r="AM388" s="449"/>
      <c r="AN388" s="449"/>
      <c r="AO388" s="491">
        <f>ROUND(AG388*AK388,2)</f>
        <v>17.27</v>
      </c>
      <c r="AP388" s="491"/>
      <c r="AQ388" s="491"/>
      <c r="AR388" s="492"/>
    </row>
    <row r="389" spans="3:44" ht="18" customHeight="1">
      <c r="C389" s="758"/>
      <c r="D389" s="759"/>
      <c r="E389" s="760"/>
      <c r="F389" s="796"/>
      <c r="G389" s="797"/>
      <c r="H389" s="797"/>
      <c r="I389" s="797"/>
      <c r="J389" s="797"/>
      <c r="K389" s="797"/>
      <c r="L389" s="797"/>
      <c r="M389" s="797"/>
      <c r="N389" s="797"/>
      <c r="O389" s="797"/>
      <c r="P389" s="797"/>
      <c r="Q389" s="797"/>
      <c r="R389" s="797"/>
      <c r="S389" s="797"/>
      <c r="T389" s="797"/>
      <c r="U389" s="797"/>
      <c r="V389" s="797"/>
      <c r="W389" s="797"/>
      <c r="X389" s="797"/>
      <c r="Y389" s="797"/>
      <c r="Z389" s="797"/>
      <c r="AA389" s="797"/>
      <c r="AB389" s="798"/>
      <c r="AC389" s="740"/>
      <c r="AD389" s="741"/>
      <c r="AE389" s="741"/>
      <c r="AF389" s="757"/>
      <c r="AG389" s="740"/>
      <c r="AH389" s="741"/>
      <c r="AI389" s="741"/>
      <c r="AJ389" s="757"/>
      <c r="AK389" s="740"/>
      <c r="AL389" s="741"/>
      <c r="AM389" s="741"/>
      <c r="AN389" s="757"/>
      <c r="AO389" s="466"/>
      <c r="AP389" s="467"/>
      <c r="AQ389" s="467"/>
      <c r="AR389" s="823"/>
    </row>
    <row r="390" spans="3:44" ht="18" customHeight="1">
      <c r="C390" s="758"/>
      <c r="D390" s="759"/>
      <c r="E390" s="760"/>
      <c r="F390" s="796"/>
      <c r="G390" s="797"/>
      <c r="H390" s="797"/>
      <c r="I390" s="797"/>
      <c r="J390" s="797"/>
      <c r="K390" s="797"/>
      <c r="L390" s="797"/>
      <c r="M390" s="797"/>
      <c r="N390" s="797"/>
      <c r="O390" s="797"/>
      <c r="P390" s="797"/>
      <c r="Q390" s="797"/>
      <c r="R390" s="797"/>
      <c r="S390" s="797"/>
      <c r="T390" s="797"/>
      <c r="U390" s="797"/>
      <c r="V390" s="797"/>
      <c r="W390" s="797"/>
      <c r="X390" s="797"/>
      <c r="Y390" s="797"/>
      <c r="Z390" s="797"/>
      <c r="AA390" s="797"/>
      <c r="AB390" s="798"/>
      <c r="AC390" s="740"/>
      <c r="AD390" s="741"/>
      <c r="AE390" s="741"/>
      <c r="AF390" s="757"/>
      <c r="AG390" s="740"/>
      <c r="AH390" s="741"/>
      <c r="AI390" s="741"/>
      <c r="AJ390" s="757"/>
      <c r="AK390" s="740"/>
      <c r="AL390" s="741"/>
      <c r="AM390" s="741"/>
      <c r="AN390" s="757"/>
      <c r="AO390" s="466"/>
      <c r="AP390" s="467"/>
      <c r="AQ390" s="467"/>
      <c r="AR390" s="823"/>
    </row>
    <row r="391" spans="3:44" ht="18" customHeight="1">
      <c r="C391" s="758"/>
      <c r="D391" s="759"/>
      <c r="E391" s="760"/>
      <c r="F391" s="796"/>
      <c r="G391" s="797"/>
      <c r="H391" s="797"/>
      <c r="I391" s="797"/>
      <c r="J391" s="797"/>
      <c r="K391" s="797"/>
      <c r="L391" s="797"/>
      <c r="M391" s="797"/>
      <c r="N391" s="797"/>
      <c r="O391" s="797"/>
      <c r="P391" s="797"/>
      <c r="Q391" s="797"/>
      <c r="R391" s="797"/>
      <c r="S391" s="797"/>
      <c r="T391" s="797"/>
      <c r="U391" s="797"/>
      <c r="V391" s="797"/>
      <c r="W391" s="797"/>
      <c r="X391" s="797"/>
      <c r="Y391" s="797"/>
      <c r="Z391" s="797"/>
      <c r="AA391" s="797"/>
      <c r="AB391" s="798"/>
      <c r="AC391" s="740"/>
      <c r="AD391" s="741"/>
      <c r="AE391" s="741"/>
      <c r="AF391" s="757"/>
      <c r="AG391" s="740"/>
      <c r="AH391" s="741"/>
      <c r="AI391" s="741"/>
      <c r="AJ391" s="757"/>
      <c r="AK391" s="740"/>
      <c r="AL391" s="741"/>
      <c r="AM391" s="741"/>
      <c r="AN391" s="757"/>
      <c r="AO391" s="466"/>
      <c r="AP391" s="467"/>
      <c r="AQ391" s="467"/>
      <c r="AR391" s="823"/>
    </row>
    <row r="392" spans="3:44" ht="18" customHeight="1">
      <c r="C392" s="758"/>
      <c r="D392" s="759"/>
      <c r="E392" s="760"/>
      <c r="F392" s="796"/>
      <c r="G392" s="797"/>
      <c r="H392" s="797"/>
      <c r="I392" s="797"/>
      <c r="J392" s="797"/>
      <c r="K392" s="797"/>
      <c r="L392" s="797"/>
      <c r="M392" s="797"/>
      <c r="N392" s="797"/>
      <c r="O392" s="797"/>
      <c r="P392" s="797"/>
      <c r="Q392" s="797"/>
      <c r="R392" s="797"/>
      <c r="S392" s="797"/>
      <c r="T392" s="797"/>
      <c r="U392" s="797"/>
      <c r="V392" s="797"/>
      <c r="W392" s="797"/>
      <c r="X392" s="797"/>
      <c r="Y392" s="797"/>
      <c r="Z392" s="797"/>
      <c r="AA392" s="797"/>
      <c r="AB392" s="798"/>
      <c r="AC392" s="740"/>
      <c r="AD392" s="741"/>
      <c r="AE392" s="741"/>
      <c r="AF392" s="757"/>
      <c r="AG392" s="740"/>
      <c r="AH392" s="741"/>
      <c r="AI392" s="741"/>
      <c r="AJ392" s="757"/>
      <c r="AK392" s="740"/>
      <c r="AL392" s="741"/>
      <c r="AM392" s="741"/>
      <c r="AN392" s="757"/>
      <c r="AO392" s="466"/>
      <c r="AP392" s="467"/>
      <c r="AQ392" s="467"/>
      <c r="AR392" s="823"/>
    </row>
    <row r="393" spans="3:44" ht="18" customHeight="1">
      <c r="C393" s="758"/>
      <c r="D393" s="759"/>
      <c r="E393" s="760"/>
      <c r="F393" s="796"/>
      <c r="G393" s="797"/>
      <c r="H393" s="797"/>
      <c r="I393" s="797"/>
      <c r="J393" s="797"/>
      <c r="K393" s="797"/>
      <c r="L393" s="797"/>
      <c r="M393" s="797"/>
      <c r="N393" s="797"/>
      <c r="O393" s="797"/>
      <c r="P393" s="797"/>
      <c r="Q393" s="797"/>
      <c r="R393" s="797"/>
      <c r="S393" s="797"/>
      <c r="T393" s="797"/>
      <c r="U393" s="797"/>
      <c r="V393" s="797"/>
      <c r="W393" s="797"/>
      <c r="X393" s="797"/>
      <c r="Y393" s="797"/>
      <c r="Z393" s="797"/>
      <c r="AA393" s="797"/>
      <c r="AB393" s="798"/>
      <c r="AC393" s="740"/>
      <c r="AD393" s="741"/>
      <c r="AE393" s="741"/>
      <c r="AF393" s="757"/>
      <c r="AG393" s="740"/>
      <c r="AH393" s="741"/>
      <c r="AI393" s="741"/>
      <c r="AJ393" s="757"/>
      <c r="AK393" s="740"/>
      <c r="AL393" s="741"/>
      <c r="AM393" s="741"/>
      <c r="AN393" s="757"/>
      <c r="AO393" s="466"/>
      <c r="AP393" s="467"/>
      <c r="AQ393" s="467"/>
      <c r="AR393" s="823"/>
    </row>
    <row r="394" spans="3:44" ht="18" customHeight="1">
      <c r="C394" s="814"/>
      <c r="D394" s="815"/>
      <c r="E394" s="815"/>
      <c r="F394" s="815"/>
      <c r="G394" s="815"/>
      <c r="H394" s="815"/>
      <c r="I394" s="815"/>
      <c r="J394" s="815"/>
      <c r="K394" s="815"/>
      <c r="L394" s="815"/>
      <c r="M394" s="815"/>
      <c r="N394" s="815"/>
      <c r="O394" s="815"/>
      <c r="P394" s="815"/>
      <c r="Q394" s="815"/>
      <c r="R394" s="815"/>
      <c r="S394" s="815"/>
      <c r="T394" s="815"/>
      <c r="U394" s="815"/>
      <c r="V394" s="815"/>
      <c r="W394" s="815"/>
      <c r="X394" s="815"/>
      <c r="Y394" s="816" t="s">
        <v>78</v>
      </c>
      <c r="Z394" s="816"/>
      <c r="AA394" s="816"/>
      <c r="AB394" s="816"/>
      <c r="AC394" s="816"/>
      <c r="AD394" s="816"/>
      <c r="AE394" s="816"/>
      <c r="AF394" s="483"/>
      <c r="AG394" s="817" t="s">
        <v>267</v>
      </c>
      <c r="AH394" s="818"/>
      <c r="AI394" s="818"/>
      <c r="AJ394" s="819"/>
      <c r="AK394" s="466">
        <f>SUM(AO386:AR393)</f>
        <v>51.41</v>
      </c>
      <c r="AL394" s="467"/>
      <c r="AM394" s="467"/>
      <c r="AN394" s="468"/>
      <c r="AO394" s="820">
        <f>ROUND(AG394*AK394,2)</f>
        <v>10.54</v>
      </c>
      <c r="AP394" s="821"/>
      <c r="AQ394" s="821"/>
      <c r="AR394" s="822"/>
    </row>
    <row r="395" spans="3:44" ht="18" customHeight="1">
      <c r="C395" s="743"/>
      <c r="D395" s="744"/>
      <c r="E395" s="744"/>
      <c r="F395" s="744"/>
      <c r="G395" s="744"/>
      <c r="H395" s="744"/>
      <c r="I395" s="744"/>
      <c r="J395" s="744"/>
      <c r="K395" s="744"/>
      <c r="L395" s="744"/>
      <c r="M395" s="744"/>
      <c r="N395" s="744"/>
      <c r="O395" s="744"/>
      <c r="P395" s="744"/>
      <c r="Q395" s="744"/>
      <c r="R395" s="744"/>
      <c r="S395" s="744"/>
      <c r="T395" s="744"/>
      <c r="U395" s="744"/>
      <c r="V395" s="744"/>
      <c r="W395" s="744"/>
      <c r="X395" s="744"/>
      <c r="Y395" s="745" t="s">
        <v>79</v>
      </c>
      <c r="Z395" s="745"/>
      <c r="AA395" s="745"/>
      <c r="AB395" s="745"/>
      <c r="AC395" s="745"/>
      <c r="AD395" s="745"/>
      <c r="AE395" s="745"/>
      <c r="AF395" s="745"/>
      <c r="AG395" s="745"/>
      <c r="AH395" s="745"/>
      <c r="AI395" s="745"/>
      <c r="AJ395" s="745"/>
      <c r="AK395" s="745"/>
      <c r="AL395" s="745"/>
      <c r="AM395" s="745"/>
      <c r="AN395" s="430"/>
      <c r="AO395" s="477">
        <f>SUM(AO386:AR394)</f>
        <v>61.949999999999996</v>
      </c>
      <c r="AP395" s="746"/>
      <c r="AQ395" s="746"/>
      <c r="AR395" s="747"/>
    </row>
    <row r="397" spans="3:44" ht="18" customHeight="1">
      <c r="C397" s="802"/>
      <c r="D397" s="803"/>
      <c r="E397" s="803"/>
      <c r="F397" s="803"/>
      <c r="G397" s="803"/>
      <c r="H397" s="803"/>
      <c r="I397" s="803"/>
      <c r="J397" s="803"/>
      <c r="K397" s="803"/>
      <c r="L397" s="803"/>
      <c r="M397" s="803"/>
      <c r="N397" s="803"/>
      <c r="O397" s="803"/>
      <c r="P397" s="803"/>
      <c r="Q397" s="803"/>
      <c r="R397" s="803"/>
      <c r="S397" s="803"/>
      <c r="T397" s="803"/>
      <c r="U397" s="803"/>
      <c r="V397" s="803"/>
      <c r="W397" s="803"/>
      <c r="X397" s="803"/>
      <c r="Y397" s="804" t="s">
        <v>80</v>
      </c>
      <c r="Z397" s="805"/>
      <c r="AA397" s="805"/>
      <c r="AB397" s="805"/>
      <c r="AC397" s="805"/>
      <c r="AD397" s="805"/>
      <c r="AE397" s="805"/>
      <c r="AF397" s="805"/>
      <c r="AG397" s="805"/>
      <c r="AH397" s="805"/>
      <c r="AI397" s="805"/>
      <c r="AJ397" s="805"/>
      <c r="AK397" s="805"/>
      <c r="AL397" s="805"/>
      <c r="AM397" s="805"/>
      <c r="AN397" s="806"/>
      <c r="AO397" s="807">
        <f>AO382+AO395</f>
        <v>65.06</v>
      </c>
      <c r="AP397" s="808"/>
      <c r="AQ397" s="808"/>
      <c r="AR397" s="809"/>
    </row>
    <row r="398" spans="3:44" ht="18" customHeight="1">
      <c r="C398" s="810" t="s">
        <v>81</v>
      </c>
      <c r="D398" s="745"/>
      <c r="E398" s="745"/>
      <c r="F398" s="745"/>
      <c r="G398" s="745"/>
      <c r="H398" s="745"/>
      <c r="I398" s="745"/>
      <c r="J398" s="745"/>
      <c r="K398" s="745"/>
      <c r="L398" s="745"/>
      <c r="M398" s="745"/>
      <c r="N398" s="745"/>
      <c r="O398" s="745"/>
      <c r="P398" s="430"/>
      <c r="Q398" s="477">
        <v>10</v>
      </c>
      <c r="R398" s="746"/>
      <c r="S398" s="746"/>
      <c r="T398" s="746"/>
      <c r="U398" s="746"/>
      <c r="V398" s="745" t="s">
        <v>246</v>
      </c>
      <c r="W398" s="745"/>
      <c r="X398" s="430"/>
      <c r="Y398" s="804" t="s">
        <v>82</v>
      </c>
      <c r="Z398" s="805"/>
      <c r="AA398" s="805"/>
      <c r="AB398" s="805"/>
      <c r="AC398" s="805"/>
      <c r="AD398" s="805"/>
      <c r="AE398" s="805"/>
      <c r="AF398" s="805"/>
      <c r="AG398" s="805"/>
      <c r="AH398" s="805"/>
      <c r="AI398" s="805"/>
      <c r="AJ398" s="805"/>
      <c r="AK398" s="805"/>
      <c r="AL398" s="805"/>
      <c r="AM398" s="805"/>
      <c r="AN398" s="806"/>
      <c r="AO398" s="811">
        <f>ROUND(AO397/Q398,2)</f>
        <v>6.51</v>
      </c>
      <c r="AP398" s="812"/>
      <c r="AQ398" s="812"/>
      <c r="AR398" s="813"/>
    </row>
    <row r="400" spans="3:44" ht="18" customHeight="1">
      <c r="C400" s="794" t="s">
        <v>43</v>
      </c>
      <c r="D400" s="774"/>
      <c r="E400" s="775"/>
      <c r="F400" s="773" t="s">
        <v>83</v>
      </c>
      <c r="G400" s="774"/>
      <c r="H400" s="774"/>
      <c r="I400" s="774"/>
      <c r="J400" s="774"/>
      <c r="K400" s="774"/>
      <c r="L400" s="774"/>
      <c r="M400" s="774"/>
      <c r="N400" s="774"/>
      <c r="O400" s="774"/>
      <c r="P400" s="774"/>
      <c r="Q400" s="774"/>
      <c r="R400" s="774"/>
      <c r="S400" s="774"/>
      <c r="T400" s="774"/>
      <c r="U400" s="774"/>
      <c r="V400" s="774"/>
      <c r="W400" s="774"/>
      <c r="X400" s="774"/>
      <c r="Y400" s="774"/>
      <c r="Z400" s="774"/>
      <c r="AA400" s="774"/>
      <c r="AB400" s="775"/>
      <c r="AC400" s="773" t="s">
        <v>84</v>
      </c>
      <c r="AD400" s="774"/>
      <c r="AE400" s="774"/>
      <c r="AF400" s="775"/>
      <c r="AG400" s="773" t="s">
        <v>85</v>
      </c>
      <c r="AH400" s="774"/>
      <c r="AI400" s="774"/>
      <c r="AJ400" s="775"/>
      <c r="AK400" s="773" t="s">
        <v>86</v>
      </c>
      <c r="AL400" s="774"/>
      <c r="AM400" s="774"/>
      <c r="AN400" s="775"/>
      <c r="AO400" s="773" t="s">
        <v>87</v>
      </c>
      <c r="AP400" s="774"/>
      <c r="AQ400" s="774"/>
      <c r="AR400" s="779"/>
    </row>
    <row r="401" spans="3:44" ht="18" customHeight="1">
      <c r="C401" s="795"/>
      <c r="D401" s="777"/>
      <c r="E401" s="778"/>
      <c r="F401" s="776"/>
      <c r="G401" s="777"/>
      <c r="H401" s="777"/>
      <c r="I401" s="777"/>
      <c r="J401" s="777"/>
      <c r="K401" s="777"/>
      <c r="L401" s="777"/>
      <c r="M401" s="777"/>
      <c r="N401" s="777"/>
      <c r="O401" s="777"/>
      <c r="P401" s="777"/>
      <c r="Q401" s="777"/>
      <c r="R401" s="777"/>
      <c r="S401" s="777"/>
      <c r="T401" s="777"/>
      <c r="U401" s="777"/>
      <c r="V401" s="777"/>
      <c r="W401" s="777"/>
      <c r="X401" s="777"/>
      <c r="Y401" s="777"/>
      <c r="Z401" s="777"/>
      <c r="AA401" s="777"/>
      <c r="AB401" s="778"/>
      <c r="AC401" s="776"/>
      <c r="AD401" s="777"/>
      <c r="AE401" s="777"/>
      <c r="AF401" s="778"/>
      <c r="AG401" s="776"/>
      <c r="AH401" s="777"/>
      <c r="AI401" s="777"/>
      <c r="AJ401" s="778"/>
      <c r="AK401" s="776"/>
      <c r="AL401" s="777"/>
      <c r="AM401" s="777"/>
      <c r="AN401" s="778"/>
      <c r="AO401" s="776"/>
      <c r="AP401" s="777"/>
      <c r="AQ401" s="777"/>
      <c r="AR401" s="780"/>
    </row>
    <row r="402" spans="3:44" ht="18" customHeight="1">
      <c r="C402" s="781" t="s">
        <v>239</v>
      </c>
      <c r="D402" s="782"/>
      <c r="E402" s="783"/>
      <c r="F402" s="493" t="s">
        <v>660</v>
      </c>
      <c r="G402" s="493"/>
      <c r="H402" s="493"/>
      <c r="I402" s="493"/>
      <c r="J402" s="493"/>
      <c r="K402" s="493"/>
      <c r="L402" s="493"/>
      <c r="M402" s="493"/>
      <c r="N402" s="493"/>
      <c r="O402" s="493"/>
      <c r="P402" s="493"/>
      <c r="Q402" s="493"/>
      <c r="R402" s="493"/>
      <c r="S402" s="493"/>
      <c r="T402" s="493"/>
      <c r="U402" s="493"/>
      <c r="V402" s="493"/>
      <c r="W402" s="493"/>
      <c r="X402" s="493"/>
      <c r="Y402" s="493"/>
      <c r="Z402" s="493"/>
      <c r="AA402" s="493"/>
      <c r="AB402" s="493"/>
      <c r="AC402" s="471" t="s">
        <v>246</v>
      </c>
      <c r="AD402" s="803"/>
      <c r="AE402" s="803"/>
      <c r="AF402" s="871"/>
      <c r="AG402" s="491">
        <v>3.63</v>
      </c>
      <c r="AH402" s="491"/>
      <c r="AI402" s="491"/>
      <c r="AJ402" s="491"/>
      <c r="AK402" s="791">
        <v>1</v>
      </c>
      <c r="AL402" s="792"/>
      <c r="AM402" s="792"/>
      <c r="AN402" s="793"/>
      <c r="AO402" s="449">
        <f>ROUND(AG402*AK402,2)</f>
        <v>3.63</v>
      </c>
      <c r="AP402" s="449"/>
      <c r="AQ402" s="449"/>
      <c r="AR402" s="450"/>
    </row>
    <row r="403" spans="3:44" ht="18" customHeight="1">
      <c r="C403" s="758" t="s">
        <v>1382</v>
      </c>
      <c r="D403" s="759"/>
      <c r="E403" s="760"/>
      <c r="F403" s="796" t="s">
        <v>471</v>
      </c>
      <c r="G403" s="797"/>
      <c r="H403" s="797"/>
      <c r="I403" s="797"/>
      <c r="J403" s="797"/>
      <c r="K403" s="797"/>
      <c r="L403" s="797"/>
      <c r="M403" s="797"/>
      <c r="N403" s="797"/>
      <c r="O403" s="797"/>
      <c r="P403" s="797"/>
      <c r="Q403" s="797"/>
      <c r="R403" s="797"/>
      <c r="S403" s="797"/>
      <c r="T403" s="797"/>
      <c r="U403" s="797"/>
      <c r="V403" s="797"/>
      <c r="W403" s="797"/>
      <c r="X403" s="797"/>
      <c r="Y403" s="797"/>
      <c r="Z403" s="797"/>
      <c r="AA403" s="797"/>
      <c r="AB403" s="798"/>
      <c r="AC403" s="799" t="s">
        <v>246</v>
      </c>
      <c r="AD403" s="800"/>
      <c r="AE403" s="800"/>
      <c r="AF403" s="801"/>
      <c r="AG403" s="466">
        <f>VLOOKUP(C403,[4]MATERIAL!A$1:D$65536,4,FALSE)</f>
        <v>8.84</v>
      </c>
      <c r="AH403" s="467"/>
      <c r="AI403" s="467"/>
      <c r="AJ403" s="468"/>
      <c r="AK403" s="737">
        <v>0.15</v>
      </c>
      <c r="AL403" s="738"/>
      <c r="AM403" s="738"/>
      <c r="AN403" s="739"/>
      <c r="AO403" s="449">
        <f>ROUND(AG403*AK403,2)</f>
        <v>1.33</v>
      </c>
      <c r="AP403" s="449"/>
      <c r="AQ403" s="449"/>
      <c r="AR403" s="450"/>
    </row>
    <row r="404" spans="3:44" ht="18" customHeight="1">
      <c r="C404" s="758"/>
      <c r="D404" s="759"/>
      <c r="E404" s="760"/>
      <c r="F404" s="796"/>
      <c r="G404" s="797"/>
      <c r="H404" s="797"/>
      <c r="I404" s="797"/>
      <c r="J404" s="797"/>
      <c r="K404" s="797"/>
      <c r="L404" s="797"/>
      <c r="M404" s="797"/>
      <c r="N404" s="797"/>
      <c r="O404" s="797"/>
      <c r="P404" s="797"/>
      <c r="Q404" s="797"/>
      <c r="R404" s="797"/>
      <c r="S404" s="797"/>
      <c r="T404" s="797"/>
      <c r="U404" s="797"/>
      <c r="V404" s="797"/>
      <c r="W404" s="797"/>
      <c r="X404" s="797"/>
      <c r="Y404" s="797"/>
      <c r="Z404" s="797"/>
      <c r="AA404" s="797"/>
      <c r="AB404" s="798"/>
      <c r="AC404" s="799"/>
      <c r="AD404" s="800"/>
      <c r="AE404" s="800"/>
      <c r="AF404" s="801"/>
      <c r="AG404" s="466"/>
      <c r="AH404" s="467"/>
      <c r="AI404" s="467"/>
      <c r="AJ404" s="468"/>
      <c r="AK404" s="737"/>
      <c r="AL404" s="738"/>
      <c r="AM404" s="738"/>
      <c r="AN404" s="739"/>
      <c r="AO404" s="740"/>
      <c r="AP404" s="741"/>
      <c r="AQ404" s="741"/>
      <c r="AR404" s="742"/>
    </row>
    <row r="405" spans="3:44" ht="18" customHeight="1">
      <c r="C405" s="758"/>
      <c r="D405" s="759"/>
      <c r="E405" s="760"/>
      <c r="F405" s="796">
        <v>0</v>
      </c>
      <c r="G405" s="797"/>
      <c r="H405" s="797"/>
      <c r="I405" s="797"/>
      <c r="J405" s="797"/>
      <c r="K405" s="797"/>
      <c r="L405" s="797"/>
      <c r="M405" s="797"/>
      <c r="N405" s="797"/>
      <c r="O405" s="797"/>
      <c r="P405" s="797"/>
      <c r="Q405" s="797"/>
      <c r="R405" s="797"/>
      <c r="S405" s="797"/>
      <c r="T405" s="797"/>
      <c r="U405" s="797"/>
      <c r="V405" s="797"/>
      <c r="W405" s="797"/>
      <c r="X405" s="797"/>
      <c r="Y405" s="797"/>
      <c r="Z405" s="797"/>
      <c r="AA405" s="797"/>
      <c r="AB405" s="798"/>
      <c r="AC405" s="799"/>
      <c r="AD405" s="800"/>
      <c r="AE405" s="800"/>
      <c r="AF405" s="801"/>
      <c r="AG405" s="466"/>
      <c r="AH405" s="467"/>
      <c r="AI405" s="467"/>
      <c r="AJ405" s="468"/>
      <c r="AK405" s="737"/>
      <c r="AL405" s="738"/>
      <c r="AM405" s="738"/>
      <c r="AN405" s="739"/>
      <c r="AO405" s="740"/>
      <c r="AP405" s="741"/>
      <c r="AQ405" s="741"/>
      <c r="AR405" s="742"/>
    </row>
    <row r="406" spans="3:44" ht="18" customHeight="1">
      <c r="C406" s="758"/>
      <c r="D406" s="759"/>
      <c r="E406" s="760"/>
      <c r="F406" s="796">
        <v>0</v>
      </c>
      <c r="G406" s="797"/>
      <c r="H406" s="797"/>
      <c r="I406" s="797"/>
      <c r="J406" s="797"/>
      <c r="K406" s="797"/>
      <c r="L406" s="797"/>
      <c r="M406" s="797"/>
      <c r="N406" s="797"/>
      <c r="O406" s="797"/>
      <c r="P406" s="797"/>
      <c r="Q406" s="797"/>
      <c r="R406" s="797"/>
      <c r="S406" s="797"/>
      <c r="T406" s="797"/>
      <c r="U406" s="797"/>
      <c r="V406" s="797"/>
      <c r="W406" s="797"/>
      <c r="X406" s="797"/>
      <c r="Y406" s="797"/>
      <c r="Z406" s="797"/>
      <c r="AA406" s="797"/>
      <c r="AB406" s="798"/>
      <c r="AC406" s="799">
        <v>0</v>
      </c>
      <c r="AD406" s="800"/>
      <c r="AE406" s="800"/>
      <c r="AF406" s="801"/>
      <c r="AG406" s="466">
        <v>0</v>
      </c>
      <c r="AH406" s="467"/>
      <c r="AI406" s="467"/>
      <c r="AJ406" s="468"/>
      <c r="AK406" s="737"/>
      <c r="AL406" s="738"/>
      <c r="AM406" s="738"/>
      <c r="AN406" s="739"/>
      <c r="AO406" s="740">
        <f>ROUND(AG406*AK406,2)</f>
        <v>0</v>
      </c>
      <c r="AP406" s="741"/>
      <c r="AQ406" s="741"/>
      <c r="AR406" s="742"/>
    </row>
    <row r="407" spans="3:44" ht="18" customHeight="1">
      <c r="C407" s="758"/>
      <c r="D407" s="759"/>
      <c r="E407" s="760"/>
      <c r="F407" s="796"/>
      <c r="G407" s="797"/>
      <c r="H407" s="797"/>
      <c r="I407" s="797"/>
      <c r="J407" s="797"/>
      <c r="K407" s="797"/>
      <c r="L407" s="797"/>
      <c r="M407" s="797"/>
      <c r="N407" s="797"/>
      <c r="O407" s="797"/>
      <c r="P407" s="797"/>
      <c r="Q407" s="797"/>
      <c r="R407" s="797"/>
      <c r="S407" s="797"/>
      <c r="T407" s="797"/>
      <c r="U407" s="797"/>
      <c r="V407" s="797"/>
      <c r="W407" s="797"/>
      <c r="X407" s="797"/>
      <c r="Y407" s="797"/>
      <c r="Z407" s="797"/>
      <c r="AA407" s="797"/>
      <c r="AB407" s="798"/>
      <c r="AC407" s="799"/>
      <c r="AD407" s="800"/>
      <c r="AE407" s="800"/>
      <c r="AF407" s="801"/>
      <c r="AG407" s="466"/>
      <c r="AH407" s="467"/>
      <c r="AI407" s="467"/>
      <c r="AJ407" s="468"/>
      <c r="AK407" s="737"/>
      <c r="AL407" s="738"/>
      <c r="AM407" s="738"/>
      <c r="AN407" s="739"/>
      <c r="AO407" s="740"/>
      <c r="AP407" s="741"/>
      <c r="AQ407" s="741"/>
      <c r="AR407" s="742"/>
    </row>
    <row r="408" spans="3:44" ht="18" customHeight="1">
      <c r="C408" s="758"/>
      <c r="D408" s="759"/>
      <c r="E408" s="760"/>
      <c r="F408" s="796"/>
      <c r="G408" s="797"/>
      <c r="H408" s="797"/>
      <c r="I408" s="797"/>
      <c r="J408" s="797"/>
      <c r="K408" s="797"/>
      <c r="L408" s="797"/>
      <c r="M408" s="797"/>
      <c r="N408" s="797"/>
      <c r="O408" s="797"/>
      <c r="P408" s="797"/>
      <c r="Q408" s="797"/>
      <c r="R408" s="797"/>
      <c r="S408" s="797"/>
      <c r="T408" s="797"/>
      <c r="U408" s="797"/>
      <c r="V408" s="797"/>
      <c r="W408" s="797"/>
      <c r="X408" s="797"/>
      <c r="Y408" s="797"/>
      <c r="Z408" s="797"/>
      <c r="AA408" s="797"/>
      <c r="AB408" s="798"/>
      <c r="AC408" s="799"/>
      <c r="AD408" s="800"/>
      <c r="AE408" s="800"/>
      <c r="AF408" s="801"/>
      <c r="AG408" s="466"/>
      <c r="AH408" s="467"/>
      <c r="AI408" s="467"/>
      <c r="AJ408" s="468"/>
      <c r="AK408" s="737"/>
      <c r="AL408" s="738"/>
      <c r="AM408" s="738"/>
      <c r="AN408" s="739"/>
      <c r="AO408" s="740"/>
      <c r="AP408" s="741"/>
      <c r="AQ408" s="741"/>
      <c r="AR408" s="742"/>
    </row>
    <row r="409" spans="3:44" ht="18" customHeight="1">
      <c r="C409" s="758"/>
      <c r="D409" s="759"/>
      <c r="E409" s="760"/>
      <c r="F409" s="796"/>
      <c r="G409" s="797"/>
      <c r="H409" s="797"/>
      <c r="I409" s="797"/>
      <c r="J409" s="797"/>
      <c r="K409" s="797"/>
      <c r="L409" s="797"/>
      <c r="M409" s="797"/>
      <c r="N409" s="797"/>
      <c r="O409" s="797"/>
      <c r="P409" s="797"/>
      <c r="Q409" s="797"/>
      <c r="R409" s="797"/>
      <c r="S409" s="797"/>
      <c r="T409" s="797"/>
      <c r="U409" s="797"/>
      <c r="V409" s="797"/>
      <c r="W409" s="797"/>
      <c r="X409" s="797"/>
      <c r="Y409" s="797"/>
      <c r="Z409" s="797"/>
      <c r="AA409" s="797"/>
      <c r="AB409" s="798"/>
      <c r="AC409" s="799"/>
      <c r="AD409" s="800"/>
      <c r="AE409" s="800"/>
      <c r="AF409" s="801"/>
      <c r="AG409" s="466"/>
      <c r="AH409" s="467"/>
      <c r="AI409" s="467"/>
      <c r="AJ409" s="468"/>
      <c r="AK409" s="737"/>
      <c r="AL409" s="738"/>
      <c r="AM409" s="738"/>
      <c r="AN409" s="739"/>
      <c r="AO409" s="740"/>
      <c r="AP409" s="741"/>
      <c r="AQ409" s="741"/>
      <c r="AR409" s="742"/>
    </row>
    <row r="410" spans="3:44" ht="18" customHeight="1">
      <c r="C410" s="743"/>
      <c r="D410" s="744"/>
      <c r="E410" s="744"/>
      <c r="F410" s="744"/>
      <c r="G410" s="744"/>
      <c r="H410" s="744"/>
      <c r="I410" s="744"/>
      <c r="J410" s="744"/>
      <c r="K410" s="744"/>
      <c r="L410" s="744"/>
      <c r="M410" s="744"/>
      <c r="N410" s="744"/>
      <c r="O410" s="744"/>
      <c r="P410" s="744"/>
      <c r="Q410" s="744"/>
      <c r="R410" s="744"/>
      <c r="S410" s="744"/>
      <c r="T410" s="744"/>
      <c r="U410" s="744"/>
      <c r="V410" s="744"/>
      <c r="W410" s="744"/>
      <c r="X410" s="744"/>
      <c r="Y410" s="745" t="s">
        <v>88</v>
      </c>
      <c r="Z410" s="745"/>
      <c r="AA410" s="745"/>
      <c r="AB410" s="745"/>
      <c r="AC410" s="745"/>
      <c r="AD410" s="745"/>
      <c r="AE410" s="745"/>
      <c r="AF410" s="745"/>
      <c r="AG410" s="745"/>
      <c r="AH410" s="745"/>
      <c r="AI410" s="745"/>
      <c r="AJ410" s="745"/>
      <c r="AK410" s="745"/>
      <c r="AL410" s="745"/>
      <c r="AM410" s="745"/>
      <c r="AN410" s="430"/>
      <c r="AO410" s="477">
        <f>SUM(AO402:AR409)</f>
        <v>4.96</v>
      </c>
      <c r="AP410" s="746"/>
      <c r="AQ410" s="746"/>
      <c r="AR410" s="747"/>
    </row>
    <row r="412" spans="3:44" ht="18" customHeight="1">
      <c r="C412" s="794" t="s">
        <v>43</v>
      </c>
      <c r="D412" s="774"/>
      <c r="E412" s="775"/>
      <c r="F412" s="773" t="s">
        <v>89</v>
      </c>
      <c r="G412" s="774"/>
      <c r="H412" s="774"/>
      <c r="I412" s="774"/>
      <c r="J412" s="774"/>
      <c r="K412" s="774"/>
      <c r="L412" s="774"/>
      <c r="M412" s="774"/>
      <c r="N412" s="774"/>
      <c r="O412" s="774"/>
      <c r="P412" s="774"/>
      <c r="Q412" s="774"/>
      <c r="R412" s="775"/>
      <c r="S412" s="773" t="s">
        <v>90</v>
      </c>
      <c r="T412" s="774"/>
      <c r="U412" s="775"/>
      <c r="V412" s="773" t="s">
        <v>91</v>
      </c>
      <c r="W412" s="774"/>
      <c r="X412" s="775"/>
      <c r="Y412" s="773" t="s">
        <v>92</v>
      </c>
      <c r="Z412" s="774"/>
      <c r="AA412" s="774"/>
      <c r="AB412" s="774"/>
      <c r="AC412" s="774"/>
      <c r="AD412" s="775"/>
      <c r="AE412" s="773" t="s">
        <v>93</v>
      </c>
      <c r="AF412" s="774"/>
      <c r="AG412" s="775"/>
      <c r="AH412" s="773" t="s">
        <v>94</v>
      </c>
      <c r="AI412" s="774"/>
      <c r="AJ412" s="775"/>
      <c r="AK412" s="773" t="s">
        <v>86</v>
      </c>
      <c r="AL412" s="774"/>
      <c r="AM412" s="774"/>
      <c r="AN412" s="775"/>
      <c r="AO412" s="773" t="s">
        <v>87</v>
      </c>
      <c r="AP412" s="774"/>
      <c r="AQ412" s="774"/>
      <c r="AR412" s="779"/>
    </row>
    <row r="413" spans="3:44" ht="18" customHeight="1">
      <c r="C413" s="795"/>
      <c r="D413" s="777"/>
      <c r="E413" s="778"/>
      <c r="F413" s="776"/>
      <c r="G413" s="777"/>
      <c r="H413" s="777"/>
      <c r="I413" s="777"/>
      <c r="J413" s="777"/>
      <c r="K413" s="777"/>
      <c r="L413" s="777"/>
      <c r="M413" s="777"/>
      <c r="N413" s="777"/>
      <c r="O413" s="777"/>
      <c r="P413" s="777"/>
      <c r="Q413" s="777"/>
      <c r="R413" s="778"/>
      <c r="S413" s="776"/>
      <c r="T413" s="777"/>
      <c r="U413" s="778"/>
      <c r="V413" s="776"/>
      <c r="W413" s="777"/>
      <c r="X413" s="778"/>
      <c r="Y413" s="776"/>
      <c r="Z413" s="777"/>
      <c r="AA413" s="777"/>
      <c r="AB413" s="777"/>
      <c r="AC413" s="777"/>
      <c r="AD413" s="778"/>
      <c r="AE413" s="776"/>
      <c r="AF413" s="777"/>
      <c r="AG413" s="778"/>
      <c r="AH413" s="776"/>
      <c r="AI413" s="777"/>
      <c r="AJ413" s="778"/>
      <c r="AK413" s="776"/>
      <c r="AL413" s="777"/>
      <c r="AM413" s="777"/>
      <c r="AN413" s="778"/>
      <c r="AO413" s="776"/>
      <c r="AP413" s="777"/>
      <c r="AQ413" s="777"/>
      <c r="AR413" s="780"/>
    </row>
    <row r="414" spans="3:44" ht="18" customHeight="1">
      <c r="C414" s="781"/>
      <c r="D414" s="782"/>
      <c r="E414" s="783"/>
      <c r="F414" s="457"/>
      <c r="G414" s="457"/>
      <c r="H414" s="457"/>
      <c r="I414" s="457"/>
      <c r="J414" s="457"/>
      <c r="K414" s="457"/>
      <c r="L414" s="457"/>
      <c r="M414" s="457"/>
      <c r="N414" s="457"/>
      <c r="O414" s="457"/>
      <c r="P414" s="457"/>
      <c r="Q414" s="457"/>
      <c r="R414" s="457"/>
      <c r="S414" s="784"/>
      <c r="T414" s="785"/>
      <c r="U414" s="786"/>
      <c r="V414" s="784"/>
      <c r="W414" s="785"/>
      <c r="X414" s="786"/>
      <c r="Y414" s="787"/>
      <c r="Z414" s="788"/>
      <c r="AA414" s="788"/>
      <c r="AB414" s="788"/>
      <c r="AC414" s="788"/>
      <c r="AD414" s="789"/>
      <c r="AE414" s="449"/>
      <c r="AF414" s="449"/>
      <c r="AG414" s="449"/>
      <c r="AH414" s="770"/>
      <c r="AI414" s="771"/>
      <c r="AJ414" s="790"/>
      <c r="AK414" s="791"/>
      <c r="AL414" s="792"/>
      <c r="AM414" s="792"/>
      <c r="AN414" s="793"/>
      <c r="AO414" s="770"/>
      <c r="AP414" s="771"/>
      <c r="AQ414" s="771"/>
      <c r="AR414" s="772"/>
    </row>
    <row r="415" spans="3:44" ht="18" customHeight="1">
      <c r="C415" s="758"/>
      <c r="D415" s="759"/>
      <c r="E415" s="760"/>
      <c r="F415" s="761"/>
      <c r="G415" s="762"/>
      <c r="H415" s="762"/>
      <c r="I415" s="762"/>
      <c r="J415" s="762"/>
      <c r="K415" s="762"/>
      <c r="L415" s="762"/>
      <c r="M415" s="762"/>
      <c r="N415" s="762"/>
      <c r="O415" s="762"/>
      <c r="P415" s="762"/>
      <c r="Q415" s="762"/>
      <c r="R415" s="763"/>
      <c r="S415" s="764"/>
      <c r="T415" s="765"/>
      <c r="U415" s="766"/>
      <c r="V415" s="764"/>
      <c r="W415" s="765"/>
      <c r="X415" s="766"/>
      <c r="Y415" s="767"/>
      <c r="Z415" s="768"/>
      <c r="AA415" s="768"/>
      <c r="AB415" s="768"/>
      <c r="AC415" s="768"/>
      <c r="AD415" s="769"/>
      <c r="AE415" s="740"/>
      <c r="AF415" s="741"/>
      <c r="AG415" s="757"/>
      <c r="AH415" s="740"/>
      <c r="AI415" s="741"/>
      <c r="AJ415" s="757"/>
      <c r="AK415" s="737"/>
      <c r="AL415" s="738"/>
      <c r="AM415" s="738"/>
      <c r="AN415" s="739"/>
      <c r="AO415" s="740">
        <f t="shared" ref="AO415:AO421" si="5">ROUND(AE415*AH415*AK415,2)</f>
        <v>0</v>
      </c>
      <c r="AP415" s="741"/>
      <c r="AQ415" s="741"/>
      <c r="AR415" s="742"/>
    </row>
    <row r="416" spans="3:44" ht="18" customHeight="1">
      <c r="C416" s="758"/>
      <c r="D416" s="759"/>
      <c r="E416" s="760"/>
      <c r="F416" s="761"/>
      <c r="G416" s="762"/>
      <c r="H416" s="762"/>
      <c r="I416" s="762"/>
      <c r="J416" s="762"/>
      <c r="K416" s="762"/>
      <c r="L416" s="762"/>
      <c r="M416" s="762"/>
      <c r="N416" s="762"/>
      <c r="O416" s="762"/>
      <c r="P416" s="762"/>
      <c r="Q416" s="762"/>
      <c r="R416" s="763"/>
      <c r="S416" s="764"/>
      <c r="T416" s="765"/>
      <c r="U416" s="766"/>
      <c r="V416" s="764"/>
      <c r="W416" s="765"/>
      <c r="X416" s="766"/>
      <c r="Y416" s="767"/>
      <c r="Z416" s="768"/>
      <c r="AA416" s="768"/>
      <c r="AB416" s="768"/>
      <c r="AC416" s="768"/>
      <c r="AD416" s="769"/>
      <c r="AE416" s="740"/>
      <c r="AF416" s="741"/>
      <c r="AG416" s="757"/>
      <c r="AH416" s="740"/>
      <c r="AI416" s="741"/>
      <c r="AJ416" s="757"/>
      <c r="AK416" s="737"/>
      <c r="AL416" s="738"/>
      <c r="AM416" s="738"/>
      <c r="AN416" s="739"/>
      <c r="AO416" s="740">
        <f t="shared" si="5"/>
        <v>0</v>
      </c>
      <c r="AP416" s="741"/>
      <c r="AQ416" s="741"/>
      <c r="AR416" s="742"/>
    </row>
    <row r="417" spans="1:44" ht="18" customHeight="1">
      <c r="C417" s="758"/>
      <c r="D417" s="759"/>
      <c r="E417" s="760"/>
      <c r="F417" s="761"/>
      <c r="G417" s="762"/>
      <c r="H417" s="762"/>
      <c r="I417" s="762"/>
      <c r="J417" s="762"/>
      <c r="K417" s="762"/>
      <c r="L417" s="762"/>
      <c r="M417" s="762"/>
      <c r="N417" s="762"/>
      <c r="O417" s="762"/>
      <c r="P417" s="762"/>
      <c r="Q417" s="762"/>
      <c r="R417" s="763"/>
      <c r="S417" s="764"/>
      <c r="T417" s="765"/>
      <c r="U417" s="766"/>
      <c r="V417" s="764"/>
      <c r="W417" s="765"/>
      <c r="X417" s="766"/>
      <c r="Y417" s="767"/>
      <c r="Z417" s="768"/>
      <c r="AA417" s="768"/>
      <c r="AB417" s="768"/>
      <c r="AC417" s="768"/>
      <c r="AD417" s="769"/>
      <c r="AE417" s="740"/>
      <c r="AF417" s="741"/>
      <c r="AG417" s="757"/>
      <c r="AH417" s="740"/>
      <c r="AI417" s="741"/>
      <c r="AJ417" s="757"/>
      <c r="AK417" s="737"/>
      <c r="AL417" s="738"/>
      <c r="AM417" s="738"/>
      <c r="AN417" s="739"/>
      <c r="AO417" s="740">
        <f t="shared" si="5"/>
        <v>0</v>
      </c>
      <c r="AP417" s="741"/>
      <c r="AQ417" s="741"/>
      <c r="AR417" s="742"/>
    </row>
    <row r="418" spans="1:44" ht="18" customHeight="1">
      <c r="C418" s="758"/>
      <c r="D418" s="759"/>
      <c r="E418" s="760"/>
      <c r="F418" s="761"/>
      <c r="G418" s="762"/>
      <c r="H418" s="762"/>
      <c r="I418" s="762"/>
      <c r="J418" s="762"/>
      <c r="K418" s="762"/>
      <c r="L418" s="762"/>
      <c r="M418" s="762"/>
      <c r="N418" s="762"/>
      <c r="O418" s="762"/>
      <c r="P418" s="762"/>
      <c r="Q418" s="762"/>
      <c r="R418" s="763"/>
      <c r="S418" s="764"/>
      <c r="T418" s="765"/>
      <c r="U418" s="766"/>
      <c r="V418" s="764"/>
      <c r="W418" s="765"/>
      <c r="X418" s="766"/>
      <c r="Y418" s="767"/>
      <c r="Z418" s="768"/>
      <c r="AA418" s="768"/>
      <c r="AB418" s="768"/>
      <c r="AC418" s="768"/>
      <c r="AD418" s="769"/>
      <c r="AE418" s="740"/>
      <c r="AF418" s="741"/>
      <c r="AG418" s="757"/>
      <c r="AH418" s="740"/>
      <c r="AI418" s="741"/>
      <c r="AJ418" s="757"/>
      <c r="AK418" s="737"/>
      <c r="AL418" s="738"/>
      <c r="AM418" s="738"/>
      <c r="AN418" s="739"/>
      <c r="AO418" s="740">
        <f t="shared" si="5"/>
        <v>0</v>
      </c>
      <c r="AP418" s="741"/>
      <c r="AQ418" s="741"/>
      <c r="AR418" s="742"/>
    </row>
    <row r="419" spans="1:44" ht="18" customHeight="1">
      <c r="C419" s="758"/>
      <c r="D419" s="759"/>
      <c r="E419" s="760"/>
      <c r="F419" s="761"/>
      <c r="G419" s="762"/>
      <c r="H419" s="762"/>
      <c r="I419" s="762"/>
      <c r="J419" s="762"/>
      <c r="K419" s="762"/>
      <c r="L419" s="762"/>
      <c r="M419" s="762"/>
      <c r="N419" s="762"/>
      <c r="O419" s="762"/>
      <c r="P419" s="762"/>
      <c r="Q419" s="762"/>
      <c r="R419" s="763"/>
      <c r="S419" s="764"/>
      <c r="T419" s="765"/>
      <c r="U419" s="766"/>
      <c r="V419" s="764"/>
      <c r="W419" s="765"/>
      <c r="X419" s="766"/>
      <c r="Y419" s="767"/>
      <c r="Z419" s="768"/>
      <c r="AA419" s="768"/>
      <c r="AB419" s="768"/>
      <c r="AC419" s="768"/>
      <c r="AD419" s="769"/>
      <c r="AE419" s="740"/>
      <c r="AF419" s="741"/>
      <c r="AG419" s="757"/>
      <c r="AH419" s="740"/>
      <c r="AI419" s="741"/>
      <c r="AJ419" s="757"/>
      <c r="AK419" s="737"/>
      <c r="AL419" s="738"/>
      <c r="AM419" s="738"/>
      <c r="AN419" s="739"/>
      <c r="AO419" s="740">
        <f t="shared" si="5"/>
        <v>0</v>
      </c>
      <c r="AP419" s="741"/>
      <c r="AQ419" s="741"/>
      <c r="AR419" s="742"/>
    </row>
    <row r="420" spans="1:44" ht="18" customHeight="1">
      <c r="C420" s="758"/>
      <c r="D420" s="759"/>
      <c r="E420" s="760"/>
      <c r="F420" s="761"/>
      <c r="G420" s="762"/>
      <c r="H420" s="762"/>
      <c r="I420" s="762"/>
      <c r="J420" s="762"/>
      <c r="K420" s="762"/>
      <c r="L420" s="762"/>
      <c r="M420" s="762"/>
      <c r="N420" s="762"/>
      <c r="O420" s="762"/>
      <c r="P420" s="762"/>
      <c r="Q420" s="762"/>
      <c r="R420" s="763"/>
      <c r="S420" s="764"/>
      <c r="T420" s="765"/>
      <c r="U420" s="766"/>
      <c r="V420" s="764"/>
      <c r="W420" s="765"/>
      <c r="X420" s="766"/>
      <c r="Y420" s="767"/>
      <c r="Z420" s="768"/>
      <c r="AA420" s="768"/>
      <c r="AB420" s="768"/>
      <c r="AC420" s="768"/>
      <c r="AD420" s="769"/>
      <c r="AE420" s="740"/>
      <c r="AF420" s="741"/>
      <c r="AG420" s="757"/>
      <c r="AH420" s="740"/>
      <c r="AI420" s="741"/>
      <c r="AJ420" s="757"/>
      <c r="AK420" s="737"/>
      <c r="AL420" s="738"/>
      <c r="AM420" s="738"/>
      <c r="AN420" s="739"/>
      <c r="AO420" s="740">
        <f t="shared" si="5"/>
        <v>0</v>
      </c>
      <c r="AP420" s="741"/>
      <c r="AQ420" s="741"/>
      <c r="AR420" s="742"/>
    </row>
    <row r="421" spans="1:44" ht="18" customHeight="1">
      <c r="C421" s="758"/>
      <c r="D421" s="759"/>
      <c r="E421" s="760"/>
      <c r="F421" s="761"/>
      <c r="G421" s="762"/>
      <c r="H421" s="762"/>
      <c r="I421" s="762"/>
      <c r="J421" s="762"/>
      <c r="K421" s="762"/>
      <c r="L421" s="762"/>
      <c r="M421" s="762"/>
      <c r="N421" s="762"/>
      <c r="O421" s="762"/>
      <c r="P421" s="762"/>
      <c r="Q421" s="762"/>
      <c r="R421" s="763"/>
      <c r="S421" s="764"/>
      <c r="T421" s="765"/>
      <c r="U421" s="766"/>
      <c r="V421" s="764"/>
      <c r="W421" s="765"/>
      <c r="X421" s="766"/>
      <c r="Y421" s="767"/>
      <c r="Z421" s="768"/>
      <c r="AA421" s="768"/>
      <c r="AB421" s="768"/>
      <c r="AC421" s="768"/>
      <c r="AD421" s="769"/>
      <c r="AE421" s="740"/>
      <c r="AF421" s="741"/>
      <c r="AG421" s="757"/>
      <c r="AH421" s="740"/>
      <c r="AI421" s="741"/>
      <c r="AJ421" s="757"/>
      <c r="AK421" s="737"/>
      <c r="AL421" s="738"/>
      <c r="AM421" s="738"/>
      <c r="AN421" s="739"/>
      <c r="AO421" s="740">
        <f t="shared" si="5"/>
        <v>0</v>
      </c>
      <c r="AP421" s="741"/>
      <c r="AQ421" s="741"/>
      <c r="AR421" s="742"/>
    </row>
    <row r="422" spans="1:44" ht="18" customHeight="1">
      <c r="C422" s="743"/>
      <c r="D422" s="744"/>
      <c r="E422" s="744"/>
      <c r="F422" s="744"/>
      <c r="G422" s="744"/>
      <c r="H422" s="744"/>
      <c r="I422" s="744"/>
      <c r="J422" s="744"/>
      <c r="K422" s="744"/>
      <c r="L422" s="744"/>
      <c r="M422" s="744"/>
      <c r="N422" s="744"/>
      <c r="O422" s="744"/>
      <c r="P422" s="744"/>
      <c r="Q422" s="744"/>
      <c r="R422" s="744"/>
      <c r="S422" s="744"/>
      <c r="T422" s="744"/>
      <c r="U422" s="744"/>
      <c r="V422" s="744"/>
      <c r="W422" s="744"/>
      <c r="X422" s="744"/>
      <c r="Y422" s="745" t="s">
        <v>95</v>
      </c>
      <c r="Z422" s="745"/>
      <c r="AA422" s="745"/>
      <c r="AB422" s="745"/>
      <c r="AC422" s="745"/>
      <c r="AD422" s="745"/>
      <c r="AE422" s="745"/>
      <c r="AF422" s="745"/>
      <c r="AG422" s="745"/>
      <c r="AH422" s="745"/>
      <c r="AI422" s="745"/>
      <c r="AJ422" s="745"/>
      <c r="AK422" s="745"/>
      <c r="AL422" s="745"/>
      <c r="AM422" s="745"/>
      <c r="AN422" s="430"/>
      <c r="AO422" s="477">
        <f>SUM(AO414:AR421)</f>
        <v>0</v>
      </c>
      <c r="AP422" s="746"/>
      <c r="AQ422" s="746"/>
      <c r="AR422" s="747"/>
    </row>
    <row r="424" spans="1:44" ht="18" customHeight="1">
      <c r="C424" s="434"/>
      <c r="D424" s="434"/>
      <c r="E424" s="434"/>
      <c r="F424" s="434"/>
      <c r="G424" s="434"/>
      <c r="H424" s="434"/>
      <c r="I424" s="434"/>
      <c r="J424" s="434"/>
      <c r="K424" s="434"/>
      <c r="L424" s="434"/>
      <c r="M424" s="434"/>
      <c r="N424" s="434"/>
      <c r="O424" s="434"/>
      <c r="P424" s="434"/>
      <c r="Q424" s="434"/>
      <c r="R424" s="434"/>
      <c r="S424" s="434"/>
      <c r="T424" s="434"/>
      <c r="U424" s="434"/>
      <c r="V424" s="434"/>
      <c r="W424" s="434"/>
      <c r="X424" s="748"/>
      <c r="Y424" s="749" t="s">
        <v>96</v>
      </c>
      <c r="Z424" s="750"/>
      <c r="AA424" s="750"/>
      <c r="AB424" s="750"/>
      <c r="AC424" s="750"/>
      <c r="AD424" s="750"/>
      <c r="AE424" s="750"/>
      <c r="AF424" s="750"/>
      <c r="AG424" s="750"/>
      <c r="AH424" s="750"/>
      <c r="AI424" s="750"/>
      <c r="AJ424" s="750"/>
      <c r="AK424" s="750"/>
      <c r="AL424" s="750"/>
      <c r="AM424" s="750"/>
      <c r="AN424" s="751"/>
      <c r="AO424" s="752">
        <f>AO398+AO410+AO422</f>
        <v>11.469999999999999</v>
      </c>
      <c r="AP424" s="753"/>
      <c r="AQ424" s="753"/>
      <c r="AR424" s="754"/>
    </row>
    <row r="425" spans="1:44" ht="18" customHeight="1">
      <c r="C425" s="434"/>
      <c r="D425" s="434"/>
      <c r="E425" s="434"/>
      <c r="F425" s="434"/>
      <c r="G425" s="434"/>
      <c r="H425" s="434"/>
      <c r="I425" s="434"/>
      <c r="J425" s="434"/>
      <c r="K425" s="434"/>
      <c r="L425" s="434"/>
      <c r="M425" s="434"/>
      <c r="N425" s="434"/>
      <c r="O425" s="434"/>
      <c r="P425" s="434"/>
      <c r="Q425" s="434"/>
      <c r="R425" s="434"/>
      <c r="S425" s="434"/>
      <c r="T425" s="434"/>
      <c r="U425" s="434"/>
      <c r="V425" s="434"/>
      <c r="W425" s="434"/>
      <c r="X425" s="748"/>
      <c r="Y425" s="755" t="s">
        <v>97</v>
      </c>
      <c r="Z425" s="756"/>
      <c r="AA425" s="756"/>
      <c r="AB425" s="756"/>
      <c r="AC425" s="756"/>
      <c r="AD425" s="756"/>
      <c r="AE425" s="756"/>
      <c r="AF425" s="756"/>
      <c r="AG425" s="756"/>
      <c r="AH425" s="442">
        <v>0.2031</v>
      </c>
      <c r="AI425" s="442"/>
      <c r="AJ425" s="442"/>
      <c r="AK425" s="442"/>
      <c r="AL425" s="442"/>
      <c r="AM425" s="442"/>
      <c r="AN425" s="443"/>
      <c r="AO425" s="728">
        <f>ROUND(AO424*AH425,2)</f>
        <v>2.33</v>
      </c>
      <c r="AP425" s="729"/>
      <c r="AQ425" s="729"/>
      <c r="AR425" s="730"/>
    </row>
    <row r="426" spans="1:44" ht="18" customHeight="1">
      <c r="A426" s="415" t="s">
        <v>664</v>
      </c>
      <c r="B426" s="415"/>
      <c r="C426" s="434"/>
      <c r="D426" s="434"/>
      <c r="E426" s="434"/>
      <c r="F426" s="434"/>
      <c r="G426" s="434"/>
      <c r="H426" s="434"/>
      <c r="I426" s="434"/>
      <c r="J426" s="434"/>
      <c r="K426" s="434"/>
      <c r="L426" s="434"/>
      <c r="M426" s="434"/>
      <c r="N426" s="434"/>
      <c r="O426" s="434"/>
      <c r="P426" s="434"/>
      <c r="Q426" s="434"/>
      <c r="R426" s="434"/>
      <c r="S426" s="434"/>
      <c r="T426" s="434"/>
      <c r="U426" s="434"/>
      <c r="V426" s="434"/>
      <c r="W426" s="434"/>
      <c r="X426" s="748"/>
      <c r="Y426" s="731" t="s">
        <v>98</v>
      </c>
      <c r="Z426" s="732"/>
      <c r="AA426" s="732"/>
      <c r="AB426" s="732"/>
      <c r="AC426" s="732"/>
      <c r="AD426" s="732"/>
      <c r="AE426" s="732"/>
      <c r="AF426" s="732"/>
      <c r="AG426" s="732"/>
      <c r="AH426" s="732"/>
      <c r="AI426" s="732"/>
      <c r="AJ426" s="732"/>
      <c r="AK426" s="732"/>
      <c r="AL426" s="732"/>
      <c r="AM426" s="732"/>
      <c r="AN426" s="733"/>
      <c r="AO426" s="734">
        <f>SUM(AO424:AR425)</f>
        <v>13.799999999999999</v>
      </c>
      <c r="AP426" s="735"/>
      <c r="AQ426" s="735"/>
      <c r="AR426" s="736"/>
    </row>
    <row r="428" spans="1:44" ht="18" customHeight="1">
      <c r="C428" s="420" t="s">
        <v>99</v>
      </c>
      <c r="D428" s="421"/>
      <c r="E428" s="421"/>
      <c r="F428" s="421"/>
      <c r="G428" s="421"/>
      <c r="H428" s="421"/>
      <c r="I428" s="422"/>
      <c r="J428" s="422"/>
      <c r="K428" s="422"/>
      <c r="L428" s="422"/>
      <c r="M428" s="422"/>
      <c r="N428" s="422"/>
      <c r="O428" s="422"/>
      <c r="P428" s="422"/>
      <c r="Q428" s="422"/>
      <c r="R428" s="422"/>
      <c r="S428" s="422"/>
      <c r="T428" s="422"/>
      <c r="U428" s="422"/>
      <c r="V428" s="422"/>
      <c r="W428" s="422"/>
      <c r="X428" s="422"/>
      <c r="Y428" s="422"/>
      <c r="Z428" s="422"/>
      <c r="AA428" s="422"/>
      <c r="AB428" s="422"/>
      <c r="AC428" s="422"/>
      <c r="AD428" s="422"/>
      <c r="AE428" s="422"/>
      <c r="AF428" s="422"/>
      <c r="AG428" s="422"/>
      <c r="AH428" s="422"/>
      <c r="AI428" s="422"/>
      <c r="AJ428" s="422"/>
      <c r="AK428" s="422"/>
      <c r="AL428" s="422"/>
      <c r="AM428" s="422"/>
      <c r="AN428" s="422"/>
      <c r="AO428" s="422"/>
      <c r="AP428" s="422"/>
      <c r="AQ428" s="422"/>
      <c r="AR428" s="423"/>
    </row>
    <row r="429" spans="1:44" ht="18" customHeight="1">
      <c r="C429" s="411"/>
      <c r="D429" s="412"/>
      <c r="E429" s="412"/>
      <c r="F429" s="412"/>
      <c r="G429" s="412"/>
      <c r="H429" s="412"/>
      <c r="I429" s="409"/>
      <c r="J429" s="409"/>
      <c r="K429" s="409"/>
      <c r="L429" s="409"/>
      <c r="M429" s="409"/>
      <c r="N429" s="409"/>
      <c r="O429" s="409"/>
      <c r="P429" s="409"/>
      <c r="Q429" s="409"/>
      <c r="R429" s="409"/>
      <c r="S429" s="409"/>
      <c r="T429" s="409"/>
      <c r="U429" s="409"/>
      <c r="V429" s="409"/>
      <c r="W429" s="409"/>
      <c r="X429" s="409"/>
      <c r="Y429" s="409"/>
      <c r="Z429" s="409"/>
      <c r="AA429" s="409"/>
      <c r="AB429" s="409"/>
      <c r="AC429" s="409"/>
      <c r="AD429" s="409"/>
      <c r="AE429" s="409"/>
      <c r="AF429" s="409"/>
      <c r="AG429" s="409"/>
      <c r="AH429" s="409"/>
      <c r="AI429" s="409"/>
      <c r="AJ429" s="409"/>
      <c r="AK429" s="409"/>
      <c r="AL429" s="409"/>
      <c r="AM429" s="409"/>
      <c r="AN429" s="409"/>
      <c r="AO429" s="409"/>
      <c r="AP429" s="409"/>
      <c r="AQ429" s="409"/>
      <c r="AR429" s="410"/>
    </row>
    <row r="430" spans="1:44" ht="18" customHeight="1">
      <c r="C430" s="411"/>
      <c r="D430" s="412"/>
      <c r="E430" s="412"/>
      <c r="F430" s="412"/>
      <c r="G430" s="412"/>
      <c r="H430" s="412"/>
      <c r="I430" s="409"/>
      <c r="J430" s="409"/>
      <c r="K430" s="409"/>
      <c r="L430" s="409"/>
      <c r="M430" s="409"/>
      <c r="N430" s="409"/>
      <c r="O430" s="409"/>
      <c r="P430" s="409"/>
      <c r="Q430" s="409"/>
      <c r="R430" s="409"/>
      <c r="S430" s="409"/>
      <c r="T430" s="409"/>
      <c r="U430" s="409"/>
      <c r="V430" s="409"/>
      <c r="W430" s="409"/>
      <c r="X430" s="409"/>
      <c r="Y430" s="409"/>
      <c r="Z430" s="409"/>
      <c r="AA430" s="409"/>
      <c r="AB430" s="409"/>
      <c r="AC430" s="409"/>
      <c r="AD430" s="409"/>
      <c r="AE430" s="409"/>
      <c r="AF430" s="409"/>
      <c r="AG430" s="409"/>
      <c r="AH430" s="409"/>
      <c r="AI430" s="409"/>
      <c r="AJ430" s="409"/>
      <c r="AK430" s="409"/>
      <c r="AL430" s="409"/>
      <c r="AM430" s="409"/>
      <c r="AN430" s="409"/>
      <c r="AO430" s="409"/>
      <c r="AP430" s="409"/>
      <c r="AQ430" s="409"/>
      <c r="AR430" s="410"/>
    </row>
    <row r="431" spans="1:44" ht="18" customHeight="1">
      <c r="C431" s="411"/>
      <c r="D431" s="412"/>
      <c r="E431" s="412"/>
      <c r="F431" s="412"/>
      <c r="G431" s="412"/>
      <c r="H431" s="412"/>
      <c r="I431" s="409"/>
      <c r="J431" s="409"/>
      <c r="K431" s="409"/>
      <c r="L431" s="409"/>
      <c r="M431" s="409"/>
      <c r="N431" s="409"/>
      <c r="O431" s="409"/>
      <c r="P431" s="409"/>
      <c r="Q431" s="409"/>
      <c r="R431" s="409"/>
      <c r="S431" s="409"/>
      <c r="T431" s="409"/>
      <c r="U431" s="409"/>
      <c r="V431" s="409"/>
      <c r="W431" s="409"/>
      <c r="X431" s="409"/>
      <c r="Y431" s="409"/>
      <c r="Z431" s="409"/>
      <c r="AA431" s="409"/>
      <c r="AB431" s="409"/>
      <c r="AC431" s="409"/>
      <c r="AD431" s="409"/>
      <c r="AE431" s="409"/>
      <c r="AF431" s="409"/>
      <c r="AG431" s="409"/>
      <c r="AH431" s="409"/>
      <c r="AI431" s="409"/>
      <c r="AJ431" s="409"/>
      <c r="AK431" s="409"/>
      <c r="AL431" s="409"/>
      <c r="AM431" s="409"/>
      <c r="AN431" s="409"/>
      <c r="AO431" s="409"/>
      <c r="AP431" s="409"/>
      <c r="AQ431" s="409"/>
      <c r="AR431" s="410"/>
    </row>
    <row r="432" spans="1:44" ht="18" customHeight="1">
      <c r="C432" s="411"/>
      <c r="D432" s="412"/>
      <c r="E432" s="412"/>
      <c r="F432" s="412"/>
      <c r="G432" s="412"/>
      <c r="H432" s="412"/>
      <c r="I432" s="409"/>
      <c r="J432" s="409"/>
      <c r="K432" s="409"/>
      <c r="L432" s="409"/>
      <c r="M432" s="409"/>
      <c r="N432" s="409"/>
      <c r="O432" s="409"/>
      <c r="P432" s="409"/>
      <c r="Q432" s="409"/>
      <c r="R432" s="409"/>
      <c r="S432" s="409"/>
      <c r="T432" s="409"/>
      <c r="U432" s="409"/>
      <c r="V432" s="409"/>
      <c r="W432" s="409"/>
      <c r="X432" s="409"/>
      <c r="Y432" s="409"/>
      <c r="Z432" s="409"/>
      <c r="AA432" s="409"/>
      <c r="AB432" s="409"/>
      <c r="AC432" s="409"/>
      <c r="AD432" s="409"/>
      <c r="AE432" s="409"/>
      <c r="AF432" s="409"/>
      <c r="AG432" s="409"/>
      <c r="AH432" s="409"/>
      <c r="AI432" s="409"/>
      <c r="AJ432" s="409"/>
      <c r="AK432" s="409"/>
      <c r="AL432" s="409"/>
      <c r="AM432" s="409"/>
      <c r="AN432" s="409"/>
      <c r="AO432" s="409"/>
      <c r="AP432" s="409"/>
      <c r="AQ432" s="409"/>
      <c r="AR432" s="410"/>
    </row>
    <row r="433" spans="3:44" ht="18" customHeight="1">
      <c r="C433" s="385"/>
      <c r="D433" s="386"/>
      <c r="E433" s="386"/>
      <c r="F433" s="386"/>
      <c r="G433" s="386"/>
      <c r="H433" s="386"/>
      <c r="I433" s="387"/>
      <c r="J433" s="387"/>
      <c r="K433" s="387"/>
      <c r="L433" s="387"/>
      <c r="M433" s="387"/>
      <c r="N433" s="387"/>
      <c r="O433" s="387"/>
      <c r="P433" s="387"/>
      <c r="Q433" s="387"/>
      <c r="R433" s="387"/>
      <c r="S433" s="387"/>
      <c r="T433" s="387"/>
      <c r="U433" s="387"/>
      <c r="V433" s="387"/>
      <c r="W433" s="387"/>
      <c r="X433" s="387"/>
      <c r="Y433" s="387"/>
      <c r="Z433" s="387"/>
      <c r="AA433" s="387"/>
      <c r="AB433" s="387"/>
      <c r="AC433" s="387"/>
      <c r="AD433" s="387"/>
      <c r="AE433" s="387"/>
      <c r="AF433" s="387"/>
      <c r="AG433" s="387"/>
      <c r="AH433" s="387"/>
      <c r="AI433" s="387"/>
      <c r="AJ433" s="387"/>
      <c r="AK433" s="387"/>
      <c r="AL433" s="387"/>
      <c r="AM433" s="387"/>
      <c r="AN433" s="387"/>
      <c r="AO433" s="387"/>
      <c r="AP433" s="387"/>
      <c r="AQ433" s="387"/>
      <c r="AR433" s="388"/>
    </row>
    <row r="435" spans="3:44" ht="18" customHeight="1">
      <c r="C435" s="389" t="s">
        <v>100</v>
      </c>
      <c r="D435" s="390"/>
      <c r="E435" s="390"/>
      <c r="F435" s="390"/>
      <c r="G435" s="390"/>
      <c r="H435" s="390"/>
      <c r="I435" s="390"/>
      <c r="J435" s="390"/>
      <c r="K435" s="390"/>
      <c r="L435" s="390"/>
      <c r="M435" s="390"/>
      <c r="N435" s="390"/>
      <c r="O435" s="390"/>
      <c r="P435" s="390"/>
      <c r="Q435" s="390"/>
      <c r="R435" s="390"/>
      <c r="S435" s="390"/>
      <c r="T435" s="390"/>
      <c r="U435" s="390"/>
      <c r="V435" s="390"/>
      <c r="W435" s="390"/>
      <c r="X435" s="390"/>
      <c r="Y435" s="390"/>
      <c r="Z435" s="390"/>
      <c r="AA435" s="391"/>
      <c r="AB435" s="392" t="str">
        <f>[4]C.UNIT.SERV.!$E$5</f>
        <v>DATA-BASE:      MAIO/2011/PR</v>
      </c>
      <c r="AC435" s="393"/>
      <c r="AD435" s="393"/>
      <c r="AE435" s="393"/>
      <c r="AF435" s="393"/>
      <c r="AG435" s="393"/>
      <c r="AH435" s="393"/>
      <c r="AI435" s="394"/>
      <c r="AJ435" s="392"/>
      <c r="AK435" s="393"/>
      <c r="AL435" s="393"/>
      <c r="AM435" s="393"/>
      <c r="AN435" s="393"/>
      <c r="AO435" s="393"/>
      <c r="AP435" s="393"/>
      <c r="AQ435" s="393"/>
      <c r="AR435" s="401"/>
    </row>
    <row r="436" spans="3:44" ht="18" customHeight="1">
      <c r="C436" s="404" t="s">
        <v>101</v>
      </c>
      <c r="D436" s="405"/>
      <c r="E436" s="405"/>
      <c r="F436" s="405"/>
      <c r="G436" s="405" t="s">
        <v>283</v>
      </c>
      <c r="H436" s="405"/>
      <c r="I436" s="405"/>
      <c r="J436" s="405"/>
      <c r="K436" s="405"/>
      <c r="L436" s="405"/>
      <c r="M436" s="405"/>
      <c r="N436" s="405"/>
      <c r="O436" s="405"/>
      <c r="P436" s="405"/>
      <c r="Q436" s="405"/>
      <c r="R436" s="405"/>
      <c r="S436" s="405"/>
      <c r="T436" s="405"/>
      <c r="U436" s="405"/>
      <c r="V436" s="405"/>
      <c r="W436" s="405"/>
      <c r="X436" s="405"/>
      <c r="Y436" s="405"/>
      <c r="Z436" s="405"/>
      <c r="AA436" s="406"/>
      <c r="AB436" s="395"/>
      <c r="AC436" s="396"/>
      <c r="AD436" s="396"/>
      <c r="AE436" s="396"/>
      <c r="AF436" s="396"/>
      <c r="AG436" s="396"/>
      <c r="AH436" s="396"/>
      <c r="AI436" s="397"/>
      <c r="AJ436" s="395"/>
      <c r="AK436" s="396"/>
      <c r="AL436" s="396"/>
      <c r="AM436" s="396"/>
      <c r="AN436" s="396"/>
      <c r="AO436" s="396"/>
      <c r="AP436" s="396"/>
      <c r="AQ436" s="396"/>
      <c r="AR436" s="402"/>
    </row>
    <row r="437" spans="3:44" ht="18" customHeight="1">
      <c r="C437" s="404" t="s">
        <v>102</v>
      </c>
      <c r="D437" s="405"/>
      <c r="E437" s="405"/>
      <c r="F437" s="405"/>
      <c r="G437" s="405"/>
      <c r="H437" s="405"/>
      <c r="I437" s="405"/>
      <c r="J437" s="405"/>
      <c r="K437" s="405"/>
      <c r="L437" s="405"/>
      <c r="M437" s="405"/>
      <c r="N437" s="405"/>
      <c r="O437" s="405"/>
      <c r="P437" s="405"/>
      <c r="Q437" s="405"/>
      <c r="R437" s="405"/>
      <c r="S437" s="405"/>
      <c r="T437" s="405"/>
      <c r="U437" s="405"/>
      <c r="V437" s="405"/>
      <c r="W437" s="405"/>
      <c r="X437" s="405"/>
      <c r="Y437" s="405"/>
      <c r="Z437" s="405"/>
      <c r="AA437" s="406"/>
      <c r="AB437" s="395"/>
      <c r="AC437" s="396"/>
      <c r="AD437" s="396"/>
      <c r="AE437" s="396"/>
      <c r="AF437" s="396"/>
      <c r="AG437" s="396"/>
      <c r="AH437" s="396"/>
      <c r="AI437" s="397"/>
      <c r="AJ437" s="395"/>
      <c r="AK437" s="396"/>
      <c r="AL437" s="396"/>
      <c r="AM437" s="396"/>
      <c r="AN437" s="396"/>
      <c r="AO437" s="396"/>
      <c r="AP437" s="396"/>
      <c r="AQ437" s="396"/>
      <c r="AR437" s="402"/>
    </row>
    <row r="438" spans="3:44" ht="18" customHeight="1">
      <c r="C438" s="407"/>
      <c r="D438" s="408"/>
      <c r="E438" s="408"/>
      <c r="F438" s="408"/>
      <c r="G438" s="408"/>
      <c r="H438" s="408"/>
      <c r="I438" s="408"/>
      <c r="J438" s="408"/>
      <c r="K438" s="408"/>
      <c r="L438" s="408"/>
      <c r="M438" s="408"/>
      <c r="N438" s="408"/>
      <c r="O438" s="408"/>
      <c r="P438" s="408"/>
      <c r="Q438" s="408"/>
      <c r="R438" s="408"/>
      <c r="S438" s="408"/>
      <c r="T438" s="408"/>
      <c r="U438" s="408"/>
      <c r="V438" s="408"/>
      <c r="W438" s="408"/>
      <c r="X438" s="408"/>
      <c r="Y438" s="408"/>
      <c r="Z438" s="408"/>
      <c r="AA438" s="408"/>
      <c r="AB438" s="398"/>
      <c r="AC438" s="399"/>
      <c r="AD438" s="399"/>
      <c r="AE438" s="399"/>
      <c r="AF438" s="399"/>
      <c r="AG438" s="399"/>
      <c r="AH438" s="399"/>
      <c r="AI438" s="400"/>
      <c r="AJ438" s="398"/>
      <c r="AK438" s="399"/>
      <c r="AL438" s="399"/>
      <c r="AM438" s="399"/>
      <c r="AN438" s="399"/>
      <c r="AO438" s="399"/>
      <c r="AP438" s="399"/>
      <c r="AQ438" s="399"/>
      <c r="AR438" s="403"/>
    </row>
    <row r="440" spans="3:44" ht="18" customHeight="1">
      <c r="C440" s="850" t="s">
        <v>64</v>
      </c>
      <c r="D440" s="851"/>
      <c r="E440" s="851"/>
      <c r="F440" s="851"/>
      <c r="G440" s="851"/>
      <c r="H440" s="851"/>
      <c r="I440" s="851"/>
      <c r="J440" s="851"/>
      <c r="K440" s="851"/>
      <c r="L440" s="851"/>
      <c r="M440" s="851"/>
      <c r="N440" s="851"/>
      <c r="O440" s="851"/>
      <c r="P440" s="851"/>
      <c r="Q440" s="851"/>
      <c r="R440" s="851"/>
      <c r="S440" s="851"/>
      <c r="T440" s="851"/>
      <c r="U440" s="851"/>
      <c r="V440" s="851"/>
      <c r="W440" s="851"/>
      <c r="X440" s="851"/>
      <c r="Y440" s="851"/>
      <c r="Z440" s="851"/>
      <c r="AA440" s="851"/>
      <c r="AB440" s="851"/>
      <c r="AC440" s="851"/>
      <c r="AD440" s="851"/>
      <c r="AE440" s="851"/>
      <c r="AF440" s="851"/>
      <c r="AG440" s="851"/>
      <c r="AH440" s="851"/>
      <c r="AI440" s="851"/>
      <c r="AJ440" s="851"/>
      <c r="AK440" s="851"/>
      <c r="AL440" s="851"/>
      <c r="AM440" s="851"/>
      <c r="AN440" s="851"/>
      <c r="AO440" s="851"/>
      <c r="AP440" s="851"/>
      <c r="AQ440" s="851"/>
      <c r="AR440" s="852"/>
    </row>
    <row r="441" spans="3:44" ht="18" customHeight="1">
      <c r="C441" s="853"/>
      <c r="D441" s="854"/>
      <c r="E441" s="854"/>
      <c r="F441" s="854"/>
      <c r="G441" s="854"/>
      <c r="H441" s="854"/>
      <c r="I441" s="854"/>
      <c r="J441" s="854"/>
      <c r="K441" s="854"/>
      <c r="L441" s="854"/>
      <c r="M441" s="854"/>
      <c r="N441" s="854"/>
      <c r="O441" s="854"/>
      <c r="P441" s="854"/>
      <c r="Q441" s="854"/>
      <c r="R441" s="854"/>
      <c r="S441" s="854"/>
      <c r="T441" s="854"/>
      <c r="U441" s="854"/>
      <c r="V441" s="854"/>
      <c r="W441" s="854"/>
      <c r="X441" s="854"/>
      <c r="Y441" s="854"/>
      <c r="Z441" s="854"/>
      <c r="AA441" s="854"/>
      <c r="AB441" s="854"/>
      <c r="AC441" s="854"/>
      <c r="AD441" s="854"/>
      <c r="AE441" s="854"/>
      <c r="AF441" s="854"/>
      <c r="AG441" s="854"/>
      <c r="AH441" s="854"/>
      <c r="AI441" s="854"/>
      <c r="AJ441" s="854"/>
      <c r="AK441" s="854"/>
      <c r="AL441" s="854"/>
      <c r="AM441" s="854"/>
      <c r="AN441" s="854"/>
      <c r="AO441" s="854"/>
      <c r="AP441" s="854"/>
      <c r="AQ441" s="854"/>
      <c r="AR441" s="855"/>
    </row>
    <row r="442" spans="3:44" ht="18" customHeight="1">
      <c r="C442" s="856" t="s">
        <v>65</v>
      </c>
      <c r="D442" s="857"/>
      <c r="E442" s="857"/>
      <c r="F442" s="857"/>
      <c r="G442" s="860" t="s">
        <v>665</v>
      </c>
      <c r="H442" s="860"/>
      <c r="I442" s="860"/>
      <c r="J442" s="861"/>
      <c r="K442" s="864" t="s">
        <v>66</v>
      </c>
      <c r="L442" s="865"/>
      <c r="M442" s="865"/>
      <c r="N442" s="865"/>
      <c r="O442" s="522" t="s">
        <v>699</v>
      </c>
      <c r="P442" s="523"/>
      <c r="Q442" s="523"/>
      <c r="R442" s="523"/>
      <c r="S442" s="523"/>
      <c r="T442" s="523"/>
      <c r="U442" s="523"/>
      <c r="V442" s="523"/>
      <c r="W442" s="523"/>
      <c r="X442" s="523"/>
      <c r="Y442" s="523"/>
      <c r="Z442" s="523"/>
      <c r="AA442" s="523"/>
      <c r="AB442" s="523"/>
      <c r="AC442" s="523"/>
      <c r="AD442" s="523"/>
      <c r="AE442" s="523"/>
      <c r="AF442" s="523"/>
      <c r="AG442" s="523"/>
      <c r="AH442" s="523"/>
      <c r="AI442" s="523"/>
      <c r="AJ442" s="523"/>
      <c r="AK442" s="523"/>
      <c r="AL442" s="864" t="s">
        <v>67</v>
      </c>
      <c r="AM442" s="865"/>
      <c r="AN442" s="865"/>
      <c r="AO442" s="865"/>
      <c r="AP442" s="843" t="s">
        <v>246</v>
      </c>
      <c r="AQ442" s="843"/>
      <c r="AR442" s="844"/>
    </row>
    <row r="443" spans="3:44" ht="18" customHeight="1">
      <c r="C443" s="858"/>
      <c r="D443" s="859"/>
      <c r="E443" s="859"/>
      <c r="F443" s="859"/>
      <c r="G443" s="862"/>
      <c r="H443" s="862"/>
      <c r="I443" s="862"/>
      <c r="J443" s="863"/>
      <c r="K443" s="866"/>
      <c r="L443" s="867"/>
      <c r="M443" s="867"/>
      <c r="N443" s="867"/>
      <c r="O443" s="524"/>
      <c r="P443" s="525"/>
      <c r="Q443" s="525"/>
      <c r="R443" s="525"/>
      <c r="S443" s="525"/>
      <c r="T443" s="525"/>
      <c r="U443" s="525"/>
      <c r="V443" s="525"/>
      <c r="W443" s="525"/>
      <c r="X443" s="525"/>
      <c r="Y443" s="525"/>
      <c r="Z443" s="525"/>
      <c r="AA443" s="525"/>
      <c r="AB443" s="525"/>
      <c r="AC443" s="525"/>
      <c r="AD443" s="525"/>
      <c r="AE443" s="525"/>
      <c r="AF443" s="525"/>
      <c r="AG443" s="525"/>
      <c r="AH443" s="525"/>
      <c r="AI443" s="525"/>
      <c r="AJ443" s="525"/>
      <c r="AK443" s="525"/>
      <c r="AL443" s="866"/>
      <c r="AM443" s="867"/>
      <c r="AN443" s="867"/>
      <c r="AO443" s="867"/>
      <c r="AP443" s="845"/>
      <c r="AQ443" s="845"/>
      <c r="AR443" s="846"/>
    </row>
    <row r="445" spans="3:44" ht="18" customHeight="1">
      <c r="C445" s="794" t="s">
        <v>43</v>
      </c>
      <c r="D445" s="774"/>
      <c r="E445" s="775"/>
      <c r="F445" s="773" t="s">
        <v>68</v>
      </c>
      <c r="G445" s="774"/>
      <c r="H445" s="774"/>
      <c r="I445" s="774"/>
      <c r="J445" s="774"/>
      <c r="K445" s="774"/>
      <c r="L445" s="774"/>
      <c r="M445" s="774"/>
      <c r="N445" s="774"/>
      <c r="O445" s="774"/>
      <c r="P445" s="774"/>
      <c r="Q445" s="774"/>
      <c r="R445" s="774"/>
      <c r="S445" s="774"/>
      <c r="T445" s="774"/>
      <c r="U445" s="775"/>
      <c r="V445" s="773" t="s">
        <v>249</v>
      </c>
      <c r="W445" s="774"/>
      <c r="X445" s="775"/>
      <c r="Y445" s="847" t="s">
        <v>69</v>
      </c>
      <c r="Z445" s="848"/>
      <c r="AA445" s="848"/>
      <c r="AB445" s="848"/>
      <c r="AC445" s="848"/>
      <c r="AD445" s="848"/>
      <c r="AE445" s="848"/>
      <c r="AF445" s="849"/>
      <c r="AG445" s="847" t="s">
        <v>70</v>
      </c>
      <c r="AH445" s="848"/>
      <c r="AI445" s="848"/>
      <c r="AJ445" s="848"/>
      <c r="AK445" s="848"/>
      <c r="AL445" s="848"/>
      <c r="AM445" s="848"/>
      <c r="AN445" s="849"/>
      <c r="AO445" s="773" t="s">
        <v>71</v>
      </c>
      <c r="AP445" s="774"/>
      <c r="AQ445" s="774"/>
      <c r="AR445" s="779"/>
    </row>
    <row r="446" spans="3:44" ht="18" customHeight="1">
      <c r="C446" s="795"/>
      <c r="D446" s="777"/>
      <c r="E446" s="778"/>
      <c r="F446" s="776"/>
      <c r="G446" s="777"/>
      <c r="H446" s="777"/>
      <c r="I446" s="777"/>
      <c r="J446" s="777"/>
      <c r="K446" s="777"/>
      <c r="L446" s="777"/>
      <c r="M446" s="777"/>
      <c r="N446" s="777"/>
      <c r="O446" s="777"/>
      <c r="P446" s="777"/>
      <c r="Q446" s="777"/>
      <c r="R446" s="777"/>
      <c r="S446" s="777"/>
      <c r="T446" s="777"/>
      <c r="U446" s="778"/>
      <c r="V446" s="776"/>
      <c r="W446" s="777"/>
      <c r="X446" s="778"/>
      <c r="Y446" s="834" t="s">
        <v>72</v>
      </c>
      <c r="Z446" s="835"/>
      <c r="AA446" s="835"/>
      <c r="AB446" s="836"/>
      <c r="AC446" s="834" t="s">
        <v>73</v>
      </c>
      <c r="AD446" s="835"/>
      <c r="AE446" s="835"/>
      <c r="AF446" s="836"/>
      <c r="AG446" s="834" t="s">
        <v>72</v>
      </c>
      <c r="AH446" s="835"/>
      <c r="AI446" s="835"/>
      <c r="AJ446" s="836"/>
      <c r="AK446" s="834" t="s">
        <v>73</v>
      </c>
      <c r="AL446" s="835"/>
      <c r="AM446" s="835"/>
      <c r="AN446" s="836"/>
      <c r="AO446" s="776"/>
      <c r="AP446" s="777"/>
      <c r="AQ446" s="777"/>
      <c r="AR446" s="780"/>
    </row>
    <row r="447" spans="3:44" ht="18" customHeight="1">
      <c r="C447" s="781" t="s">
        <v>1379</v>
      </c>
      <c r="D447" s="782"/>
      <c r="E447" s="783"/>
      <c r="F447" s="493" t="s">
        <v>468</v>
      </c>
      <c r="G447" s="493"/>
      <c r="H447" s="493"/>
      <c r="I447" s="493"/>
      <c r="J447" s="493"/>
      <c r="K447" s="493"/>
      <c r="L447" s="493"/>
      <c r="M447" s="493"/>
      <c r="N447" s="493"/>
      <c r="O447" s="493"/>
      <c r="P447" s="493"/>
      <c r="Q447" s="493"/>
      <c r="R447" s="493"/>
      <c r="S447" s="493"/>
      <c r="T447" s="493"/>
      <c r="U447" s="493"/>
      <c r="V447" s="837">
        <v>1</v>
      </c>
      <c r="W447" s="838"/>
      <c r="X447" s="839"/>
      <c r="Y447" s="837">
        <v>1</v>
      </c>
      <c r="Z447" s="838"/>
      <c r="AA447" s="838"/>
      <c r="AB447" s="839"/>
      <c r="AC447" s="868">
        <f>1-Y447</f>
        <v>0</v>
      </c>
      <c r="AD447" s="869"/>
      <c r="AE447" s="869"/>
      <c r="AF447" s="870"/>
      <c r="AG447" s="491">
        <f>VLOOKUP(C447,[4]EQUIPAMENTOS!A$1:D$65536,3,FALSE)</f>
        <v>3.1082000000000001</v>
      </c>
      <c r="AH447" s="491"/>
      <c r="AI447" s="491"/>
      <c r="AJ447" s="491"/>
      <c r="AK447" s="491">
        <f>VLOOKUP(C447,[4]EQUIPAMENTOS!A$1:D$65536,4,FALSE)</f>
        <v>0</v>
      </c>
      <c r="AL447" s="491"/>
      <c r="AM447" s="491"/>
      <c r="AN447" s="491"/>
      <c r="AO447" s="491">
        <f>ROUND((Y447*AG447+AC447*AK447)*V447,2)</f>
        <v>3.11</v>
      </c>
      <c r="AP447" s="491"/>
      <c r="AQ447" s="491"/>
      <c r="AR447" s="492"/>
    </row>
    <row r="448" spans="3:44" ht="18" customHeight="1">
      <c r="C448" s="758"/>
      <c r="D448" s="759"/>
      <c r="E448" s="760"/>
      <c r="F448" s="493"/>
      <c r="G448" s="493"/>
      <c r="H448" s="493"/>
      <c r="I448" s="493"/>
      <c r="J448" s="493"/>
      <c r="K448" s="493"/>
      <c r="L448" s="493"/>
      <c r="M448" s="493"/>
      <c r="N448" s="493"/>
      <c r="O448" s="493"/>
      <c r="P448" s="493"/>
      <c r="Q448" s="493"/>
      <c r="R448" s="493"/>
      <c r="S448" s="493"/>
      <c r="T448" s="493"/>
      <c r="U448" s="493"/>
      <c r="V448" s="466"/>
      <c r="W448" s="467"/>
      <c r="X448" s="468"/>
      <c r="Y448" s="466"/>
      <c r="Z448" s="467"/>
      <c r="AA448" s="467"/>
      <c r="AB448" s="468"/>
      <c r="AC448" s="828"/>
      <c r="AD448" s="829"/>
      <c r="AE448" s="829"/>
      <c r="AF448" s="830"/>
      <c r="AG448" s="491"/>
      <c r="AH448" s="491"/>
      <c r="AI448" s="491"/>
      <c r="AJ448" s="491"/>
      <c r="AK448" s="491"/>
      <c r="AL448" s="491"/>
      <c r="AM448" s="491"/>
      <c r="AN448" s="491"/>
      <c r="AO448" s="491"/>
      <c r="AP448" s="491"/>
      <c r="AQ448" s="491"/>
      <c r="AR448" s="492"/>
    </row>
    <row r="449" spans="3:44" ht="18" customHeight="1">
      <c r="C449" s="758"/>
      <c r="D449" s="759"/>
      <c r="E449" s="760"/>
      <c r="F449" s="493"/>
      <c r="G449" s="493"/>
      <c r="H449" s="493"/>
      <c r="I449" s="493"/>
      <c r="J449" s="493"/>
      <c r="K449" s="493"/>
      <c r="L449" s="493"/>
      <c r="M449" s="493"/>
      <c r="N449" s="493"/>
      <c r="O449" s="493"/>
      <c r="P449" s="493"/>
      <c r="Q449" s="493"/>
      <c r="R449" s="493"/>
      <c r="S449" s="493"/>
      <c r="T449" s="493"/>
      <c r="U449" s="493"/>
      <c r="V449" s="466"/>
      <c r="W449" s="467"/>
      <c r="X449" s="468"/>
      <c r="Y449" s="466"/>
      <c r="Z449" s="467"/>
      <c r="AA449" s="467"/>
      <c r="AB449" s="468"/>
      <c r="AC449" s="828"/>
      <c r="AD449" s="829"/>
      <c r="AE449" s="829"/>
      <c r="AF449" s="830"/>
      <c r="AG449" s="491"/>
      <c r="AH449" s="491"/>
      <c r="AI449" s="491"/>
      <c r="AJ449" s="491"/>
      <c r="AK449" s="491"/>
      <c r="AL449" s="491"/>
      <c r="AM449" s="491"/>
      <c r="AN449" s="491"/>
      <c r="AO449" s="491"/>
      <c r="AP449" s="491"/>
      <c r="AQ449" s="491"/>
      <c r="AR449" s="492"/>
    </row>
    <row r="450" spans="3:44" ht="18" customHeight="1">
      <c r="C450" s="758"/>
      <c r="D450" s="759"/>
      <c r="E450" s="760"/>
      <c r="F450" s="493"/>
      <c r="G450" s="493"/>
      <c r="H450" s="493"/>
      <c r="I450" s="493"/>
      <c r="J450" s="493"/>
      <c r="K450" s="493"/>
      <c r="L450" s="493"/>
      <c r="M450" s="493"/>
      <c r="N450" s="493"/>
      <c r="O450" s="493"/>
      <c r="P450" s="493"/>
      <c r="Q450" s="493"/>
      <c r="R450" s="493"/>
      <c r="S450" s="493"/>
      <c r="T450" s="493"/>
      <c r="U450" s="493"/>
      <c r="V450" s="466"/>
      <c r="W450" s="467"/>
      <c r="X450" s="468"/>
      <c r="Y450" s="466"/>
      <c r="Z450" s="467"/>
      <c r="AA450" s="467"/>
      <c r="AB450" s="468"/>
      <c r="AC450" s="828"/>
      <c r="AD450" s="829"/>
      <c r="AE450" s="829"/>
      <c r="AF450" s="830"/>
      <c r="AG450" s="491"/>
      <c r="AH450" s="491"/>
      <c r="AI450" s="491"/>
      <c r="AJ450" s="491"/>
      <c r="AK450" s="491"/>
      <c r="AL450" s="491"/>
      <c r="AM450" s="491"/>
      <c r="AN450" s="491"/>
      <c r="AO450" s="491"/>
      <c r="AP450" s="491"/>
      <c r="AQ450" s="491"/>
      <c r="AR450" s="492"/>
    </row>
    <row r="451" spans="3:44" ht="18" customHeight="1">
      <c r="C451" s="758"/>
      <c r="D451" s="759"/>
      <c r="E451" s="760"/>
      <c r="F451" s="493"/>
      <c r="G451" s="493"/>
      <c r="H451" s="493"/>
      <c r="I451" s="493"/>
      <c r="J451" s="493"/>
      <c r="K451" s="493"/>
      <c r="L451" s="493"/>
      <c r="M451" s="493"/>
      <c r="N451" s="493"/>
      <c r="O451" s="493"/>
      <c r="P451" s="493"/>
      <c r="Q451" s="493"/>
      <c r="R451" s="493"/>
      <c r="S451" s="493"/>
      <c r="T451" s="493"/>
      <c r="U451" s="493"/>
      <c r="V451" s="466"/>
      <c r="W451" s="467"/>
      <c r="X451" s="468"/>
      <c r="Y451" s="466"/>
      <c r="Z451" s="467"/>
      <c r="AA451" s="467"/>
      <c r="AB451" s="468"/>
      <c r="AC451" s="828"/>
      <c r="AD451" s="829"/>
      <c r="AE451" s="829"/>
      <c r="AF451" s="830"/>
      <c r="AG451" s="491"/>
      <c r="AH451" s="491"/>
      <c r="AI451" s="491"/>
      <c r="AJ451" s="491"/>
      <c r="AK451" s="491"/>
      <c r="AL451" s="491"/>
      <c r="AM451" s="491"/>
      <c r="AN451" s="491"/>
      <c r="AO451" s="491"/>
      <c r="AP451" s="491"/>
      <c r="AQ451" s="491"/>
      <c r="AR451" s="492"/>
    </row>
    <row r="452" spans="3:44" ht="18" customHeight="1">
      <c r="C452" s="758"/>
      <c r="D452" s="759"/>
      <c r="E452" s="760"/>
      <c r="F452" s="493"/>
      <c r="G452" s="493"/>
      <c r="H452" s="493"/>
      <c r="I452" s="493"/>
      <c r="J452" s="493"/>
      <c r="K452" s="493"/>
      <c r="L452" s="493"/>
      <c r="M452" s="493"/>
      <c r="N452" s="493"/>
      <c r="O452" s="493"/>
      <c r="P452" s="493"/>
      <c r="Q452" s="493"/>
      <c r="R452" s="493"/>
      <c r="S452" s="493"/>
      <c r="T452" s="493"/>
      <c r="U452" s="493"/>
      <c r="V452" s="466"/>
      <c r="W452" s="467"/>
      <c r="X452" s="468"/>
      <c r="Y452" s="466"/>
      <c r="Z452" s="467"/>
      <c r="AA452" s="467"/>
      <c r="AB452" s="468"/>
      <c r="AC452" s="828"/>
      <c r="AD452" s="829"/>
      <c r="AE452" s="829"/>
      <c r="AF452" s="830"/>
      <c r="AG452" s="491"/>
      <c r="AH452" s="491"/>
      <c r="AI452" s="491"/>
      <c r="AJ452" s="491"/>
      <c r="AK452" s="491"/>
      <c r="AL452" s="491"/>
      <c r="AM452" s="491"/>
      <c r="AN452" s="491"/>
      <c r="AO452" s="491"/>
      <c r="AP452" s="491"/>
      <c r="AQ452" s="491"/>
      <c r="AR452" s="492"/>
    </row>
    <row r="453" spans="3:44" ht="18" customHeight="1">
      <c r="C453" s="758"/>
      <c r="D453" s="759"/>
      <c r="E453" s="760"/>
      <c r="F453" s="796"/>
      <c r="G453" s="797"/>
      <c r="H453" s="797"/>
      <c r="I453" s="797"/>
      <c r="J453" s="797"/>
      <c r="K453" s="797"/>
      <c r="L453" s="797"/>
      <c r="M453" s="797"/>
      <c r="N453" s="797"/>
      <c r="O453" s="797"/>
      <c r="P453" s="797"/>
      <c r="Q453" s="797"/>
      <c r="R453" s="797"/>
      <c r="S453" s="797"/>
      <c r="T453" s="797"/>
      <c r="U453" s="798"/>
      <c r="V453" s="466"/>
      <c r="W453" s="467"/>
      <c r="X453" s="468"/>
      <c r="Y453" s="466"/>
      <c r="Z453" s="467"/>
      <c r="AA453" s="467"/>
      <c r="AB453" s="468"/>
      <c r="AC453" s="828"/>
      <c r="AD453" s="829"/>
      <c r="AE453" s="829"/>
      <c r="AF453" s="830"/>
      <c r="AG453" s="466"/>
      <c r="AH453" s="467"/>
      <c r="AI453" s="467"/>
      <c r="AJ453" s="468"/>
      <c r="AK453" s="466"/>
      <c r="AL453" s="467"/>
      <c r="AM453" s="467"/>
      <c r="AN453" s="468"/>
      <c r="AO453" s="466"/>
      <c r="AP453" s="467"/>
      <c r="AQ453" s="467"/>
      <c r="AR453" s="823"/>
    </row>
    <row r="454" spans="3:44" ht="18" customHeight="1">
      <c r="C454" s="758"/>
      <c r="D454" s="759"/>
      <c r="E454" s="760"/>
      <c r="F454" s="796"/>
      <c r="G454" s="797"/>
      <c r="H454" s="797"/>
      <c r="I454" s="797"/>
      <c r="J454" s="797"/>
      <c r="K454" s="797"/>
      <c r="L454" s="797"/>
      <c r="M454" s="797"/>
      <c r="N454" s="797"/>
      <c r="O454" s="797"/>
      <c r="P454" s="797"/>
      <c r="Q454" s="797"/>
      <c r="R454" s="797"/>
      <c r="S454" s="797"/>
      <c r="T454" s="797"/>
      <c r="U454" s="798"/>
      <c r="V454" s="466"/>
      <c r="W454" s="467"/>
      <c r="X454" s="468"/>
      <c r="Y454" s="466"/>
      <c r="Z454" s="467"/>
      <c r="AA454" s="467"/>
      <c r="AB454" s="468"/>
      <c r="AC454" s="828"/>
      <c r="AD454" s="829"/>
      <c r="AE454" s="829"/>
      <c r="AF454" s="830"/>
      <c r="AG454" s="466"/>
      <c r="AH454" s="467"/>
      <c r="AI454" s="467"/>
      <c r="AJ454" s="468"/>
      <c r="AK454" s="466"/>
      <c r="AL454" s="467"/>
      <c r="AM454" s="467"/>
      <c r="AN454" s="468"/>
      <c r="AO454" s="466"/>
      <c r="AP454" s="467"/>
      <c r="AQ454" s="467"/>
      <c r="AR454" s="823"/>
    </row>
    <row r="455" spans="3:44" ht="18" customHeight="1">
      <c r="C455" s="743"/>
      <c r="D455" s="744"/>
      <c r="E455" s="744"/>
      <c r="F455" s="744"/>
      <c r="G455" s="744"/>
      <c r="H455" s="744"/>
      <c r="I455" s="744"/>
      <c r="J455" s="744"/>
      <c r="K455" s="744"/>
      <c r="L455" s="744"/>
      <c r="M455" s="744"/>
      <c r="N455" s="744"/>
      <c r="O455" s="744"/>
      <c r="P455" s="744"/>
      <c r="Q455" s="744"/>
      <c r="R455" s="744"/>
      <c r="S455" s="744"/>
      <c r="T455" s="744"/>
      <c r="U455" s="744"/>
      <c r="V455" s="744"/>
      <c r="W455" s="744"/>
      <c r="X455" s="824"/>
      <c r="Y455" s="825" t="s">
        <v>74</v>
      </c>
      <c r="Z455" s="826"/>
      <c r="AA455" s="826"/>
      <c r="AB455" s="826"/>
      <c r="AC455" s="826"/>
      <c r="AD455" s="826"/>
      <c r="AE455" s="826"/>
      <c r="AF455" s="826"/>
      <c r="AG455" s="826"/>
      <c r="AH455" s="826"/>
      <c r="AI455" s="826"/>
      <c r="AJ455" s="826"/>
      <c r="AK455" s="826"/>
      <c r="AL455" s="826"/>
      <c r="AM455" s="826"/>
      <c r="AN455" s="827"/>
      <c r="AO455" s="477">
        <f>SUM(AO447:AR454)</f>
        <v>3.11</v>
      </c>
      <c r="AP455" s="746"/>
      <c r="AQ455" s="746"/>
      <c r="AR455" s="747"/>
    </row>
    <row r="457" spans="3:44" ht="18" customHeight="1">
      <c r="C457" s="794" t="s">
        <v>43</v>
      </c>
      <c r="D457" s="774"/>
      <c r="E457" s="775"/>
      <c r="F457" s="773" t="s">
        <v>75</v>
      </c>
      <c r="G457" s="774"/>
      <c r="H457" s="774"/>
      <c r="I457" s="774"/>
      <c r="J457" s="774"/>
      <c r="K457" s="774"/>
      <c r="L457" s="774"/>
      <c r="M457" s="774"/>
      <c r="N457" s="774"/>
      <c r="O457" s="774"/>
      <c r="P457" s="774"/>
      <c r="Q457" s="774"/>
      <c r="R457" s="774"/>
      <c r="S457" s="774"/>
      <c r="T457" s="774"/>
      <c r="U457" s="774"/>
      <c r="V457" s="774"/>
      <c r="W457" s="774"/>
      <c r="X457" s="774"/>
      <c r="Y457" s="774"/>
      <c r="Z457" s="774"/>
      <c r="AA457" s="774"/>
      <c r="AB457" s="775"/>
      <c r="AC457" s="773" t="s">
        <v>76</v>
      </c>
      <c r="AD457" s="774"/>
      <c r="AE457" s="774"/>
      <c r="AF457" s="775"/>
      <c r="AG457" s="773" t="s">
        <v>249</v>
      </c>
      <c r="AH457" s="774"/>
      <c r="AI457" s="774"/>
      <c r="AJ457" s="775"/>
      <c r="AK457" s="773" t="s">
        <v>77</v>
      </c>
      <c r="AL457" s="774"/>
      <c r="AM457" s="774"/>
      <c r="AN457" s="775"/>
      <c r="AO457" s="773" t="s">
        <v>71</v>
      </c>
      <c r="AP457" s="774"/>
      <c r="AQ457" s="774"/>
      <c r="AR457" s="779"/>
    </row>
    <row r="458" spans="3:44" ht="18" customHeight="1">
      <c r="C458" s="795"/>
      <c r="D458" s="777"/>
      <c r="E458" s="778"/>
      <c r="F458" s="776"/>
      <c r="G458" s="777"/>
      <c r="H458" s="777"/>
      <c r="I458" s="777"/>
      <c r="J458" s="777"/>
      <c r="K458" s="777"/>
      <c r="L458" s="777"/>
      <c r="M458" s="777"/>
      <c r="N458" s="777"/>
      <c r="O458" s="777"/>
      <c r="P458" s="777"/>
      <c r="Q458" s="777"/>
      <c r="R458" s="777"/>
      <c r="S458" s="777"/>
      <c r="T458" s="777"/>
      <c r="U458" s="777"/>
      <c r="V458" s="777"/>
      <c r="W458" s="777"/>
      <c r="X458" s="777"/>
      <c r="Y458" s="777"/>
      <c r="Z458" s="777"/>
      <c r="AA458" s="777"/>
      <c r="AB458" s="778"/>
      <c r="AC458" s="776"/>
      <c r="AD458" s="777"/>
      <c r="AE458" s="777"/>
      <c r="AF458" s="778"/>
      <c r="AG458" s="776"/>
      <c r="AH458" s="777"/>
      <c r="AI458" s="777"/>
      <c r="AJ458" s="778"/>
      <c r="AK458" s="776"/>
      <c r="AL458" s="777"/>
      <c r="AM458" s="777"/>
      <c r="AN458" s="778"/>
      <c r="AO458" s="776"/>
      <c r="AP458" s="777"/>
      <c r="AQ458" s="777"/>
      <c r="AR458" s="780"/>
    </row>
    <row r="459" spans="3:44" ht="18" customHeight="1">
      <c r="C459" s="781" t="s">
        <v>940</v>
      </c>
      <c r="D459" s="782"/>
      <c r="E459" s="783"/>
      <c r="F459" s="493" t="s">
        <v>105</v>
      </c>
      <c r="G459" s="493"/>
      <c r="H459" s="493"/>
      <c r="I459" s="493"/>
      <c r="J459" s="493"/>
      <c r="K459" s="493"/>
      <c r="L459" s="493"/>
      <c r="M459" s="493"/>
      <c r="N459" s="493"/>
      <c r="O459" s="493"/>
      <c r="P459" s="493"/>
      <c r="Q459" s="493"/>
      <c r="R459" s="493"/>
      <c r="S459" s="493"/>
      <c r="T459" s="493"/>
      <c r="U459" s="493"/>
      <c r="V459" s="493"/>
      <c r="W459" s="493"/>
      <c r="X459" s="493"/>
      <c r="Y459" s="493"/>
      <c r="Z459" s="493"/>
      <c r="AA459" s="493"/>
      <c r="AB459" s="493"/>
      <c r="AC459" s="770"/>
      <c r="AD459" s="771"/>
      <c r="AE459" s="771"/>
      <c r="AF459" s="790"/>
      <c r="AG459" s="770">
        <v>1</v>
      </c>
      <c r="AH459" s="771"/>
      <c r="AI459" s="771"/>
      <c r="AJ459" s="790"/>
      <c r="AK459" s="449">
        <f>VLOOKUP(C459,[4]MÃODEOBRA!A$1:D$65536,4,FALSE)</f>
        <v>22.98488</v>
      </c>
      <c r="AL459" s="449"/>
      <c r="AM459" s="449"/>
      <c r="AN459" s="449"/>
      <c r="AO459" s="491">
        <f>ROUND(AG459*AK459,2)</f>
        <v>22.98</v>
      </c>
      <c r="AP459" s="491"/>
      <c r="AQ459" s="491"/>
      <c r="AR459" s="492"/>
    </row>
    <row r="460" spans="3:44" ht="18" customHeight="1">
      <c r="C460" s="758" t="s">
        <v>1380</v>
      </c>
      <c r="D460" s="759"/>
      <c r="E460" s="760"/>
      <c r="F460" s="493" t="s">
        <v>469</v>
      </c>
      <c r="G460" s="493"/>
      <c r="H460" s="493"/>
      <c r="I460" s="493"/>
      <c r="J460" s="493"/>
      <c r="K460" s="493"/>
      <c r="L460" s="493"/>
      <c r="M460" s="493"/>
      <c r="N460" s="493"/>
      <c r="O460" s="493"/>
      <c r="P460" s="493"/>
      <c r="Q460" s="493"/>
      <c r="R460" s="493"/>
      <c r="S460" s="493"/>
      <c r="T460" s="493"/>
      <c r="U460" s="493"/>
      <c r="V460" s="493"/>
      <c r="W460" s="493"/>
      <c r="X460" s="493"/>
      <c r="Y460" s="493"/>
      <c r="Z460" s="493"/>
      <c r="AA460" s="493"/>
      <c r="AB460" s="493"/>
      <c r="AC460" s="740"/>
      <c r="AD460" s="741"/>
      <c r="AE460" s="741"/>
      <c r="AF460" s="757"/>
      <c r="AG460" s="740">
        <v>1</v>
      </c>
      <c r="AH460" s="741"/>
      <c r="AI460" s="741"/>
      <c r="AJ460" s="757"/>
      <c r="AK460" s="449">
        <f>VLOOKUP(C460,[4]MÃODEOBRA!A$1:D$65536,4,FALSE)</f>
        <v>11.156079999999999</v>
      </c>
      <c r="AL460" s="449"/>
      <c r="AM460" s="449"/>
      <c r="AN460" s="449"/>
      <c r="AO460" s="491">
        <f>ROUND(AG460*AK460,2)</f>
        <v>11.16</v>
      </c>
      <c r="AP460" s="491"/>
      <c r="AQ460" s="491"/>
      <c r="AR460" s="492"/>
    </row>
    <row r="461" spans="3:44" ht="18" customHeight="1">
      <c r="C461" s="758" t="s">
        <v>943</v>
      </c>
      <c r="D461" s="759"/>
      <c r="E461" s="760"/>
      <c r="F461" s="796" t="s">
        <v>128</v>
      </c>
      <c r="G461" s="797"/>
      <c r="H461" s="797"/>
      <c r="I461" s="797"/>
      <c r="J461" s="797"/>
      <c r="K461" s="797"/>
      <c r="L461" s="797"/>
      <c r="M461" s="797"/>
      <c r="N461" s="797"/>
      <c r="O461" s="797"/>
      <c r="P461" s="797"/>
      <c r="Q461" s="797"/>
      <c r="R461" s="797"/>
      <c r="S461" s="797"/>
      <c r="T461" s="797"/>
      <c r="U461" s="797"/>
      <c r="V461" s="797"/>
      <c r="W461" s="797"/>
      <c r="X461" s="797"/>
      <c r="Y461" s="797"/>
      <c r="Z461" s="797"/>
      <c r="AA461" s="797"/>
      <c r="AB461" s="798"/>
      <c r="AC461" s="740"/>
      <c r="AD461" s="741"/>
      <c r="AE461" s="741"/>
      <c r="AF461" s="757"/>
      <c r="AG461" s="740">
        <v>2</v>
      </c>
      <c r="AH461" s="741"/>
      <c r="AI461" s="741"/>
      <c r="AJ461" s="757"/>
      <c r="AK461" s="449">
        <f>VLOOKUP(C461,[4]MÃODEOBRA!A$1:D$65536,4,FALSE)</f>
        <v>8.6333500000000001</v>
      </c>
      <c r="AL461" s="449"/>
      <c r="AM461" s="449"/>
      <c r="AN461" s="449"/>
      <c r="AO461" s="491">
        <f>ROUND(AG461*AK461,2)</f>
        <v>17.27</v>
      </c>
      <c r="AP461" s="491"/>
      <c r="AQ461" s="491"/>
      <c r="AR461" s="492"/>
    </row>
    <row r="462" spans="3:44" ht="18" customHeight="1">
      <c r="C462" s="758"/>
      <c r="D462" s="759"/>
      <c r="E462" s="760"/>
      <c r="F462" s="796"/>
      <c r="G462" s="797"/>
      <c r="H462" s="797"/>
      <c r="I462" s="797"/>
      <c r="J462" s="797"/>
      <c r="K462" s="797"/>
      <c r="L462" s="797"/>
      <c r="M462" s="797"/>
      <c r="N462" s="797"/>
      <c r="O462" s="797"/>
      <c r="P462" s="797"/>
      <c r="Q462" s="797"/>
      <c r="R462" s="797"/>
      <c r="S462" s="797"/>
      <c r="T462" s="797"/>
      <c r="U462" s="797"/>
      <c r="V462" s="797"/>
      <c r="W462" s="797"/>
      <c r="X462" s="797"/>
      <c r="Y462" s="797"/>
      <c r="Z462" s="797"/>
      <c r="AA462" s="797"/>
      <c r="AB462" s="798"/>
      <c r="AC462" s="740"/>
      <c r="AD462" s="741"/>
      <c r="AE462" s="741"/>
      <c r="AF462" s="757"/>
      <c r="AG462" s="740"/>
      <c r="AH462" s="741"/>
      <c r="AI462" s="741"/>
      <c r="AJ462" s="757"/>
      <c r="AK462" s="740"/>
      <c r="AL462" s="741"/>
      <c r="AM462" s="741"/>
      <c r="AN462" s="757"/>
      <c r="AO462" s="466"/>
      <c r="AP462" s="467"/>
      <c r="AQ462" s="467"/>
      <c r="AR462" s="823"/>
    </row>
    <row r="463" spans="3:44" ht="18" customHeight="1">
      <c r="C463" s="758"/>
      <c r="D463" s="759"/>
      <c r="E463" s="760"/>
      <c r="F463" s="796"/>
      <c r="G463" s="797"/>
      <c r="H463" s="797"/>
      <c r="I463" s="797"/>
      <c r="J463" s="797"/>
      <c r="K463" s="797"/>
      <c r="L463" s="797"/>
      <c r="M463" s="797"/>
      <c r="N463" s="797"/>
      <c r="O463" s="797"/>
      <c r="P463" s="797"/>
      <c r="Q463" s="797"/>
      <c r="R463" s="797"/>
      <c r="S463" s="797"/>
      <c r="T463" s="797"/>
      <c r="U463" s="797"/>
      <c r="V463" s="797"/>
      <c r="W463" s="797"/>
      <c r="X463" s="797"/>
      <c r="Y463" s="797"/>
      <c r="Z463" s="797"/>
      <c r="AA463" s="797"/>
      <c r="AB463" s="798"/>
      <c r="AC463" s="740"/>
      <c r="AD463" s="741"/>
      <c r="AE463" s="741"/>
      <c r="AF463" s="757"/>
      <c r="AG463" s="740"/>
      <c r="AH463" s="741"/>
      <c r="AI463" s="741"/>
      <c r="AJ463" s="757"/>
      <c r="AK463" s="740"/>
      <c r="AL463" s="741"/>
      <c r="AM463" s="741"/>
      <c r="AN463" s="757"/>
      <c r="AO463" s="466"/>
      <c r="AP463" s="467"/>
      <c r="AQ463" s="467"/>
      <c r="AR463" s="823"/>
    </row>
    <row r="464" spans="3:44" ht="18" customHeight="1">
      <c r="C464" s="758"/>
      <c r="D464" s="759"/>
      <c r="E464" s="760"/>
      <c r="F464" s="796"/>
      <c r="G464" s="797"/>
      <c r="H464" s="797"/>
      <c r="I464" s="797"/>
      <c r="J464" s="797"/>
      <c r="K464" s="797"/>
      <c r="L464" s="797"/>
      <c r="M464" s="797"/>
      <c r="N464" s="797"/>
      <c r="O464" s="797"/>
      <c r="P464" s="797"/>
      <c r="Q464" s="797"/>
      <c r="R464" s="797"/>
      <c r="S464" s="797"/>
      <c r="T464" s="797"/>
      <c r="U464" s="797"/>
      <c r="V464" s="797"/>
      <c r="W464" s="797"/>
      <c r="X464" s="797"/>
      <c r="Y464" s="797"/>
      <c r="Z464" s="797"/>
      <c r="AA464" s="797"/>
      <c r="AB464" s="798"/>
      <c r="AC464" s="740"/>
      <c r="AD464" s="741"/>
      <c r="AE464" s="741"/>
      <c r="AF464" s="757"/>
      <c r="AG464" s="740"/>
      <c r="AH464" s="741"/>
      <c r="AI464" s="741"/>
      <c r="AJ464" s="757"/>
      <c r="AK464" s="740"/>
      <c r="AL464" s="741"/>
      <c r="AM464" s="741"/>
      <c r="AN464" s="757"/>
      <c r="AO464" s="466"/>
      <c r="AP464" s="467"/>
      <c r="AQ464" s="467"/>
      <c r="AR464" s="823"/>
    </row>
    <row r="465" spans="3:44" ht="18" customHeight="1">
      <c r="C465" s="758"/>
      <c r="D465" s="759"/>
      <c r="E465" s="760"/>
      <c r="F465" s="796"/>
      <c r="G465" s="797"/>
      <c r="H465" s="797"/>
      <c r="I465" s="797"/>
      <c r="J465" s="797"/>
      <c r="K465" s="797"/>
      <c r="L465" s="797"/>
      <c r="M465" s="797"/>
      <c r="N465" s="797"/>
      <c r="O465" s="797"/>
      <c r="P465" s="797"/>
      <c r="Q465" s="797"/>
      <c r="R465" s="797"/>
      <c r="S465" s="797"/>
      <c r="T465" s="797"/>
      <c r="U465" s="797"/>
      <c r="V465" s="797"/>
      <c r="W465" s="797"/>
      <c r="X465" s="797"/>
      <c r="Y465" s="797"/>
      <c r="Z465" s="797"/>
      <c r="AA465" s="797"/>
      <c r="AB465" s="798"/>
      <c r="AC465" s="740"/>
      <c r="AD465" s="741"/>
      <c r="AE465" s="741"/>
      <c r="AF465" s="757"/>
      <c r="AG465" s="740"/>
      <c r="AH465" s="741"/>
      <c r="AI465" s="741"/>
      <c r="AJ465" s="757"/>
      <c r="AK465" s="740"/>
      <c r="AL465" s="741"/>
      <c r="AM465" s="741"/>
      <c r="AN465" s="757"/>
      <c r="AO465" s="466"/>
      <c r="AP465" s="467"/>
      <c r="AQ465" s="467"/>
      <c r="AR465" s="823"/>
    </row>
    <row r="466" spans="3:44" ht="18" customHeight="1">
      <c r="C466" s="758"/>
      <c r="D466" s="759"/>
      <c r="E466" s="760"/>
      <c r="F466" s="796"/>
      <c r="G466" s="797"/>
      <c r="H466" s="797"/>
      <c r="I466" s="797"/>
      <c r="J466" s="797"/>
      <c r="K466" s="797"/>
      <c r="L466" s="797"/>
      <c r="M466" s="797"/>
      <c r="N466" s="797"/>
      <c r="O466" s="797"/>
      <c r="P466" s="797"/>
      <c r="Q466" s="797"/>
      <c r="R466" s="797"/>
      <c r="S466" s="797"/>
      <c r="T466" s="797"/>
      <c r="U466" s="797"/>
      <c r="V466" s="797"/>
      <c r="W466" s="797"/>
      <c r="X466" s="797"/>
      <c r="Y466" s="797"/>
      <c r="Z466" s="797"/>
      <c r="AA466" s="797"/>
      <c r="AB466" s="798"/>
      <c r="AC466" s="740"/>
      <c r="AD466" s="741"/>
      <c r="AE466" s="741"/>
      <c r="AF466" s="757"/>
      <c r="AG466" s="740"/>
      <c r="AH466" s="741"/>
      <c r="AI466" s="741"/>
      <c r="AJ466" s="757"/>
      <c r="AK466" s="740"/>
      <c r="AL466" s="741"/>
      <c r="AM466" s="741"/>
      <c r="AN466" s="757"/>
      <c r="AO466" s="466"/>
      <c r="AP466" s="467"/>
      <c r="AQ466" s="467"/>
      <c r="AR466" s="823"/>
    </row>
    <row r="467" spans="3:44" ht="18" customHeight="1">
      <c r="C467" s="814"/>
      <c r="D467" s="815"/>
      <c r="E467" s="815"/>
      <c r="F467" s="815"/>
      <c r="G467" s="815"/>
      <c r="H467" s="815"/>
      <c r="I467" s="815"/>
      <c r="J467" s="815"/>
      <c r="K467" s="815"/>
      <c r="L467" s="815"/>
      <c r="M467" s="815"/>
      <c r="N467" s="815"/>
      <c r="O467" s="815"/>
      <c r="P467" s="815"/>
      <c r="Q467" s="815"/>
      <c r="R467" s="815"/>
      <c r="S467" s="815"/>
      <c r="T467" s="815"/>
      <c r="U467" s="815"/>
      <c r="V467" s="815"/>
      <c r="W467" s="815"/>
      <c r="X467" s="815"/>
      <c r="Y467" s="816" t="s">
        <v>78</v>
      </c>
      <c r="Z467" s="816"/>
      <c r="AA467" s="816"/>
      <c r="AB467" s="816"/>
      <c r="AC467" s="816"/>
      <c r="AD467" s="816"/>
      <c r="AE467" s="816"/>
      <c r="AF467" s="483"/>
      <c r="AG467" s="817" t="s">
        <v>267</v>
      </c>
      <c r="AH467" s="818"/>
      <c r="AI467" s="818"/>
      <c r="AJ467" s="819"/>
      <c r="AK467" s="466">
        <f>SUM(AO459:AR466)</f>
        <v>51.41</v>
      </c>
      <c r="AL467" s="467"/>
      <c r="AM467" s="467"/>
      <c r="AN467" s="468"/>
      <c r="AO467" s="820">
        <f>ROUND(AG467*AK467,2)</f>
        <v>10.54</v>
      </c>
      <c r="AP467" s="821"/>
      <c r="AQ467" s="821"/>
      <c r="AR467" s="822"/>
    </row>
    <row r="468" spans="3:44" ht="18" customHeight="1">
      <c r="C468" s="743"/>
      <c r="D468" s="744"/>
      <c r="E468" s="744"/>
      <c r="F468" s="744"/>
      <c r="G468" s="744"/>
      <c r="H468" s="744"/>
      <c r="I468" s="744"/>
      <c r="J468" s="744"/>
      <c r="K468" s="744"/>
      <c r="L468" s="744"/>
      <c r="M468" s="744"/>
      <c r="N468" s="744"/>
      <c r="O468" s="744"/>
      <c r="P468" s="744"/>
      <c r="Q468" s="744"/>
      <c r="R468" s="744"/>
      <c r="S468" s="744"/>
      <c r="T468" s="744"/>
      <c r="U468" s="744"/>
      <c r="V468" s="744"/>
      <c r="W468" s="744"/>
      <c r="X468" s="744"/>
      <c r="Y468" s="745" t="s">
        <v>79</v>
      </c>
      <c r="Z468" s="745"/>
      <c r="AA468" s="745"/>
      <c r="AB468" s="745"/>
      <c r="AC468" s="745"/>
      <c r="AD468" s="745"/>
      <c r="AE468" s="745"/>
      <c r="AF468" s="745"/>
      <c r="AG468" s="745"/>
      <c r="AH468" s="745"/>
      <c r="AI468" s="745"/>
      <c r="AJ468" s="745"/>
      <c r="AK468" s="745"/>
      <c r="AL468" s="745"/>
      <c r="AM468" s="745"/>
      <c r="AN468" s="430"/>
      <c r="AO468" s="477">
        <f>SUM(AO459:AR467)</f>
        <v>61.949999999999996</v>
      </c>
      <c r="AP468" s="746"/>
      <c r="AQ468" s="746"/>
      <c r="AR468" s="747"/>
    </row>
    <row r="470" spans="3:44" ht="18" customHeight="1">
      <c r="C470" s="802"/>
      <c r="D470" s="803"/>
      <c r="E470" s="803"/>
      <c r="F470" s="803"/>
      <c r="G470" s="803"/>
      <c r="H470" s="803"/>
      <c r="I470" s="803"/>
      <c r="J470" s="803"/>
      <c r="K470" s="803"/>
      <c r="L470" s="803"/>
      <c r="M470" s="803"/>
      <c r="N470" s="803"/>
      <c r="O470" s="803"/>
      <c r="P470" s="803"/>
      <c r="Q470" s="803"/>
      <c r="R470" s="803"/>
      <c r="S470" s="803"/>
      <c r="T470" s="803"/>
      <c r="U470" s="803"/>
      <c r="V470" s="803"/>
      <c r="W470" s="803"/>
      <c r="X470" s="803"/>
      <c r="Y470" s="804" t="s">
        <v>80</v>
      </c>
      <c r="Z470" s="805"/>
      <c r="AA470" s="805"/>
      <c r="AB470" s="805"/>
      <c r="AC470" s="805"/>
      <c r="AD470" s="805"/>
      <c r="AE470" s="805"/>
      <c r="AF470" s="805"/>
      <c r="AG470" s="805"/>
      <c r="AH470" s="805"/>
      <c r="AI470" s="805"/>
      <c r="AJ470" s="805"/>
      <c r="AK470" s="805"/>
      <c r="AL470" s="805"/>
      <c r="AM470" s="805"/>
      <c r="AN470" s="806"/>
      <c r="AO470" s="807">
        <f>AO455+AO468</f>
        <v>65.06</v>
      </c>
      <c r="AP470" s="808"/>
      <c r="AQ470" s="808"/>
      <c r="AR470" s="809"/>
    </row>
    <row r="471" spans="3:44" ht="18" customHeight="1">
      <c r="C471" s="810" t="s">
        <v>81</v>
      </c>
      <c r="D471" s="745"/>
      <c r="E471" s="745"/>
      <c r="F471" s="745"/>
      <c r="G471" s="745"/>
      <c r="H471" s="745"/>
      <c r="I471" s="745"/>
      <c r="J471" s="745"/>
      <c r="K471" s="745"/>
      <c r="L471" s="745"/>
      <c r="M471" s="745"/>
      <c r="N471" s="745"/>
      <c r="O471" s="745"/>
      <c r="P471" s="430"/>
      <c r="Q471" s="477">
        <v>10</v>
      </c>
      <c r="R471" s="746"/>
      <c r="S471" s="746"/>
      <c r="T471" s="746"/>
      <c r="U471" s="746"/>
      <c r="V471" s="745" t="s">
        <v>246</v>
      </c>
      <c r="W471" s="745"/>
      <c r="X471" s="430"/>
      <c r="Y471" s="804" t="s">
        <v>82</v>
      </c>
      <c r="Z471" s="805"/>
      <c r="AA471" s="805"/>
      <c r="AB471" s="805"/>
      <c r="AC471" s="805"/>
      <c r="AD471" s="805"/>
      <c r="AE471" s="805"/>
      <c r="AF471" s="805"/>
      <c r="AG471" s="805"/>
      <c r="AH471" s="805"/>
      <c r="AI471" s="805"/>
      <c r="AJ471" s="805"/>
      <c r="AK471" s="805"/>
      <c r="AL471" s="805"/>
      <c r="AM471" s="805"/>
      <c r="AN471" s="806"/>
      <c r="AO471" s="811">
        <f>ROUND(AO470/Q471,2)</f>
        <v>6.51</v>
      </c>
      <c r="AP471" s="812"/>
      <c r="AQ471" s="812"/>
      <c r="AR471" s="813"/>
    </row>
    <row r="473" spans="3:44" ht="18" customHeight="1">
      <c r="C473" s="794" t="s">
        <v>43</v>
      </c>
      <c r="D473" s="774"/>
      <c r="E473" s="775"/>
      <c r="F473" s="773" t="s">
        <v>83</v>
      </c>
      <c r="G473" s="774"/>
      <c r="H473" s="774"/>
      <c r="I473" s="774"/>
      <c r="J473" s="774"/>
      <c r="K473" s="774"/>
      <c r="L473" s="774"/>
      <c r="M473" s="774"/>
      <c r="N473" s="774"/>
      <c r="O473" s="774"/>
      <c r="P473" s="774"/>
      <c r="Q473" s="774"/>
      <c r="R473" s="774"/>
      <c r="S473" s="774"/>
      <c r="T473" s="774"/>
      <c r="U473" s="774"/>
      <c r="V473" s="774"/>
      <c r="W473" s="774"/>
      <c r="X473" s="774"/>
      <c r="Y473" s="774"/>
      <c r="Z473" s="774"/>
      <c r="AA473" s="774"/>
      <c r="AB473" s="775"/>
      <c r="AC473" s="773" t="s">
        <v>84</v>
      </c>
      <c r="AD473" s="774"/>
      <c r="AE473" s="774"/>
      <c r="AF473" s="775"/>
      <c r="AG473" s="773" t="s">
        <v>85</v>
      </c>
      <c r="AH473" s="774"/>
      <c r="AI473" s="774"/>
      <c r="AJ473" s="775"/>
      <c r="AK473" s="773" t="s">
        <v>86</v>
      </c>
      <c r="AL473" s="774"/>
      <c r="AM473" s="774"/>
      <c r="AN473" s="775"/>
      <c r="AO473" s="773" t="s">
        <v>87</v>
      </c>
      <c r="AP473" s="774"/>
      <c r="AQ473" s="774"/>
      <c r="AR473" s="779"/>
    </row>
    <row r="474" spans="3:44" ht="18" customHeight="1">
      <c r="C474" s="795"/>
      <c r="D474" s="777"/>
      <c r="E474" s="778"/>
      <c r="F474" s="776"/>
      <c r="G474" s="777"/>
      <c r="H474" s="777"/>
      <c r="I474" s="777"/>
      <c r="J474" s="777"/>
      <c r="K474" s="777"/>
      <c r="L474" s="777"/>
      <c r="M474" s="777"/>
      <c r="N474" s="777"/>
      <c r="O474" s="777"/>
      <c r="P474" s="777"/>
      <c r="Q474" s="777"/>
      <c r="R474" s="777"/>
      <c r="S474" s="777"/>
      <c r="T474" s="777"/>
      <c r="U474" s="777"/>
      <c r="V474" s="777"/>
      <c r="W474" s="777"/>
      <c r="X474" s="777"/>
      <c r="Y474" s="777"/>
      <c r="Z474" s="777"/>
      <c r="AA474" s="777"/>
      <c r="AB474" s="778"/>
      <c r="AC474" s="776"/>
      <c r="AD474" s="777"/>
      <c r="AE474" s="777"/>
      <c r="AF474" s="778"/>
      <c r="AG474" s="776"/>
      <c r="AH474" s="777"/>
      <c r="AI474" s="777"/>
      <c r="AJ474" s="778"/>
      <c r="AK474" s="776"/>
      <c r="AL474" s="777"/>
      <c r="AM474" s="777"/>
      <c r="AN474" s="778"/>
      <c r="AO474" s="776"/>
      <c r="AP474" s="777"/>
      <c r="AQ474" s="777"/>
      <c r="AR474" s="780"/>
    </row>
    <row r="475" spans="3:44" ht="18" customHeight="1">
      <c r="C475" s="781" t="s">
        <v>239</v>
      </c>
      <c r="D475" s="782"/>
      <c r="E475" s="783"/>
      <c r="F475" s="493" t="s">
        <v>666</v>
      </c>
      <c r="G475" s="493"/>
      <c r="H475" s="493"/>
      <c r="I475" s="493"/>
      <c r="J475" s="493"/>
      <c r="K475" s="493"/>
      <c r="L475" s="493"/>
      <c r="M475" s="493"/>
      <c r="N475" s="493"/>
      <c r="O475" s="493"/>
      <c r="P475" s="493"/>
      <c r="Q475" s="493"/>
      <c r="R475" s="493"/>
      <c r="S475" s="493"/>
      <c r="T475" s="493"/>
      <c r="U475" s="493"/>
      <c r="V475" s="493"/>
      <c r="W475" s="493"/>
      <c r="X475" s="493"/>
      <c r="Y475" s="493"/>
      <c r="Z475" s="493"/>
      <c r="AA475" s="493"/>
      <c r="AB475" s="493"/>
      <c r="AC475" s="471" t="s">
        <v>246</v>
      </c>
      <c r="AD475" s="803"/>
      <c r="AE475" s="803"/>
      <c r="AF475" s="871"/>
      <c r="AG475" s="491">
        <v>2.87</v>
      </c>
      <c r="AH475" s="491"/>
      <c r="AI475" s="491"/>
      <c r="AJ475" s="491"/>
      <c r="AK475" s="791">
        <v>1</v>
      </c>
      <c r="AL475" s="792"/>
      <c r="AM475" s="792"/>
      <c r="AN475" s="793"/>
      <c r="AO475" s="449">
        <f>ROUND(AG475*AK475,2)</f>
        <v>2.87</v>
      </c>
      <c r="AP475" s="449"/>
      <c r="AQ475" s="449"/>
      <c r="AR475" s="450"/>
    </row>
    <row r="476" spans="3:44" ht="18" customHeight="1">
      <c r="C476" s="758" t="s">
        <v>1382</v>
      </c>
      <c r="D476" s="759"/>
      <c r="E476" s="760"/>
      <c r="F476" s="796" t="s">
        <v>471</v>
      </c>
      <c r="G476" s="797"/>
      <c r="H476" s="797"/>
      <c r="I476" s="797"/>
      <c r="J476" s="797"/>
      <c r="K476" s="797"/>
      <c r="L476" s="797"/>
      <c r="M476" s="797"/>
      <c r="N476" s="797"/>
      <c r="O476" s="797"/>
      <c r="P476" s="797"/>
      <c r="Q476" s="797"/>
      <c r="R476" s="797"/>
      <c r="S476" s="797"/>
      <c r="T476" s="797"/>
      <c r="U476" s="797"/>
      <c r="V476" s="797"/>
      <c r="W476" s="797"/>
      <c r="X476" s="797"/>
      <c r="Y476" s="797"/>
      <c r="Z476" s="797"/>
      <c r="AA476" s="797"/>
      <c r="AB476" s="798"/>
      <c r="AC476" s="799" t="s">
        <v>246</v>
      </c>
      <c r="AD476" s="800"/>
      <c r="AE476" s="800"/>
      <c r="AF476" s="801"/>
      <c r="AG476" s="466">
        <f>VLOOKUP(C476,[4]MATERIAL!A$1:D$65536,4,FALSE)</f>
        <v>8.84</v>
      </c>
      <c r="AH476" s="467"/>
      <c r="AI476" s="467"/>
      <c r="AJ476" s="468"/>
      <c r="AK476" s="737">
        <v>0.15</v>
      </c>
      <c r="AL476" s="738"/>
      <c r="AM476" s="738"/>
      <c r="AN476" s="739"/>
      <c r="AO476" s="449">
        <f>ROUND(AG476*AK476,2)</f>
        <v>1.33</v>
      </c>
      <c r="AP476" s="449"/>
      <c r="AQ476" s="449"/>
      <c r="AR476" s="450"/>
    </row>
    <row r="477" spans="3:44" ht="18" customHeight="1">
      <c r="C477" s="758"/>
      <c r="D477" s="759"/>
      <c r="E477" s="760"/>
      <c r="F477" s="796"/>
      <c r="G477" s="797"/>
      <c r="H477" s="797"/>
      <c r="I477" s="797"/>
      <c r="J477" s="797"/>
      <c r="K477" s="797"/>
      <c r="L477" s="797"/>
      <c r="M477" s="797"/>
      <c r="N477" s="797"/>
      <c r="O477" s="797"/>
      <c r="P477" s="797"/>
      <c r="Q477" s="797"/>
      <c r="R477" s="797"/>
      <c r="S477" s="797"/>
      <c r="T477" s="797"/>
      <c r="U477" s="797"/>
      <c r="V477" s="797"/>
      <c r="W477" s="797"/>
      <c r="X477" s="797"/>
      <c r="Y477" s="797"/>
      <c r="Z477" s="797"/>
      <c r="AA477" s="797"/>
      <c r="AB477" s="798"/>
      <c r="AC477" s="799"/>
      <c r="AD477" s="800"/>
      <c r="AE477" s="800"/>
      <c r="AF477" s="801"/>
      <c r="AG477" s="466"/>
      <c r="AH477" s="467"/>
      <c r="AI477" s="467"/>
      <c r="AJ477" s="468"/>
      <c r="AK477" s="737"/>
      <c r="AL477" s="738"/>
      <c r="AM477" s="738"/>
      <c r="AN477" s="739"/>
      <c r="AO477" s="740"/>
      <c r="AP477" s="741"/>
      <c r="AQ477" s="741"/>
      <c r="AR477" s="742"/>
    </row>
    <row r="478" spans="3:44" ht="18" customHeight="1">
      <c r="C478" s="758"/>
      <c r="D478" s="759"/>
      <c r="E478" s="760"/>
      <c r="F478" s="796">
        <v>0</v>
      </c>
      <c r="G478" s="797"/>
      <c r="H478" s="797"/>
      <c r="I478" s="797"/>
      <c r="J478" s="797"/>
      <c r="K478" s="797"/>
      <c r="L478" s="797"/>
      <c r="M478" s="797"/>
      <c r="N478" s="797"/>
      <c r="O478" s="797"/>
      <c r="P478" s="797"/>
      <c r="Q478" s="797"/>
      <c r="R478" s="797"/>
      <c r="S478" s="797"/>
      <c r="T478" s="797"/>
      <c r="U478" s="797"/>
      <c r="V478" s="797"/>
      <c r="W478" s="797"/>
      <c r="X478" s="797"/>
      <c r="Y478" s="797"/>
      <c r="Z478" s="797"/>
      <c r="AA478" s="797"/>
      <c r="AB478" s="798"/>
      <c r="AC478" s="799"/>
      <c r="AD478" s="800"/>
      <c r="AE478" s="800"/>
      <c r="AF478" s="801"/>
      <c r="AG478" s="466"/>
      <c r="AH478" s="467"/>
      <c r="AI478" s="467"/>
      <c r="AJ478" s="468"/>
      <c r="AK478" s="737"/>
      <c r="AL478" s="738"/>
      <c r="AM478" s="738"/>
      <c r="AN478" s="739"/>
      <c r="AO478" s="740"/>
      <c r="AP478" s="741"/>
      <c r="AQ478" s="741"/>
      <c r="AR478" s="742"/>
    </row>
    <row r="479" spans="3:44" ht="18" customHeight="1">
      <c r="C479" s="758"/>
      <c r="D479" s="759"/>
      <c r="E479" s="760"/>
      <c r="F479" s="796">
        <v>0</v>
      </c>
      <c r="G479" s="797"/>
      <c r="H479" s="797"/>
      <c r="I479" s="797"/>
      <c r="J479" s="797"/>
      <c r="K479" s="797"/>
      <c r="L479" s="797"/>
      <c r="M479" s="797"/>
      <c r="N479" s="797"/>
      <c r="O479" s="797"/>
      <c r="P479" s="797"/>
      <c r="Q479" s="797"/>
      <c r="R479" s="797"/>
      <c r="S479" s="797"/>
      <c r="T479" s="797"/>
      <c r="U479" s="797"/>
      <c r="V479" s="797"/>
      <c r="W479" s="797"/>
      <c r="X479" s="797"/>
      <c r="Y479" s="797"/>
      <c r="Z479" s="797"/>
      <c r="AA479" s="797"/>
      <c r="AB479" s="798"/>
      <c r="AC479" s="799">
        <v>0</v>
      </c>
      <c r="AD479" s="800"/>
      <c r="AE479" s="800"/>
      <c r="AF479" s="801"/>
      <c r="AG479" s="466">
        <v>0</v>
      </c>
      <c r="AH479" s="467"/>
      <c r="AI479" s="467"/>
      <c r="AJ479" s="468"/>
      <c r="AK479" s="737"/>
      <c r="AL479" s="738"/>
      <c r="AM479" s="738"/>
      <c r="AN479" s="739"/>
      <c r="AO479" s="740">
        <f>ROUND(AG479*AK479,2)</f>
        <v>0</v>
      </c>
      <c r="AP479" s="741"/>
      <c r="AQ479" s="741"/>
      <c r="AR479" s="742"/>
    </row>
    <row r="480" spans="3:44" ht="18" customHeight="1">
      <c r="C480" s="758"/>
      <c r="D480" s="759"/>
      <c r="E480" s="760"/>
      <c r="F480" s="796"/>
      <c r="G480" s="797"/>
      <c r="H480" s="797"/>
      <c r="I480" s="797"/>
      <c r="J480" s="797"/>
      <c r="K480" s="797"/>
      <c r="L480" s="797"/>
      <c r="M480" s="797"/>
      <c r="N480" s="797"/>
      <c r="O480" s="797"/>
      <c r="P480" s="797"/>
      <c r="Q480" s="797"/>
      <c r="R480" s="797"/>
      <c r="S480" s="797"/>
      <c r="T480" s="797"/>
      <c r="U480" s="797"/>
      <c r="V480" s="797"/>
      <c r="W480" s="797"/>
      <c r="X480" s="797"/>
      <c r="Y480" s="797"/>
      <c r="Z480" s="797"/>
      <c r="AA480" s="797"/>
      <c r="AB480" s="798"/>
      <c r="AC480" s="799"/>
      <c r="AD480" s="800"/>
      <c r="AE480" s="800"/>
      <c r="AF480" s="801"/>
      <c r="AG480" s="466"/>
      <c r="AH480" s="467"/>
      <c r="AI480" s="467"/>
      <c r="AJ480" s="468"/>
      <c r="AK480" s="737"/>
      <c r="AL480" s="738"/>
      <c r="AM480" s="738"/>
      <c r="AN480" s="739"/>
      <c r="AO480" s="740"/>
      <c r="AP480" s="741"/>
      <c r="AQ480" s="741"/>
      <c r="AR480" s="742"/>
    </row>
    <row r="481" spans="3:44" ht="18" customHeight="1">
      <c r="C481" s="758"/>
      <c r="D481" s="759"/>
      <c r="E481" s="760"/>
      <c r="F481" s="796"/>
      <c r="G481" s="797"/>
      <c r="H481" s="797"/>
      <c r="I481" s="797"/>
      <c r="J481" s="797"/>
      <c r="K481" s="797"/>
      <c r="L481" s="797"/>
      <c r="M481" s="797"/>
      <c r="N481" s="797"/>
      <c r="O481" s="797"/>
      <c r="P481" s="797"/>
      <c r="Q481" s="797"/>
      <c r="R481" s="797"/>
      <c r="S481" s="797"/>
      <c r="T481" s="797"/>
      <c r="U481" s="797"/>
      <c r="V481" s="797"/>
      <c r="W481" s="797"/>
      <c r="X481" s="797"/>
      <c r="Y481" s="797"/>
      <c r="Z481" s="797"/>
      <c r="AA481" s="797"/>
      <c r="AB481" s="798"/>
      <c r="AC481" s="799"/>
      <c r="AD481" s="800"/>
      <c r="AE481" s="800"/>
      <c r="AF481" s="801"/>
      <c r="AG481" s="466"/>
      <c r="AH481" s="467"/>
      <c r="AI481" s="467"/>
      <c r="AJ481" s="468"/>
      <c r="AK481" s="737"/>
      <c r="AL481" s="738"/>
      <c r="AM481" s="738"/>
      <c r="AN481" s="739"/>
      <c r="AO481" s="740"/>
      <c r="AP481" s="741"/>
      <c r="AQ481" s="741"/>
      <c r="AR481" s="742"/>
    </row>
    <row r="482" spans="3:44" ht="18" customHeight="1">
      <c r="C482" s="758"/>
      <c r="D482" s="759"/>
      <c r="E482" s="760"/>
      <c r="F482" s="796"/>
      <c r="G482" s="797"/>
      <c r="H482" s="797"/>
      <c r="I482" s="797"/>
      <c r="J482" s="797"/>
      <c r="K482" s="797"/>
      <c r="L482" s="797"/>
      <c r="M482" s="797"/>
      <c r="N482" s="797"/>
      <c r="O482" s="797"/>
      <c r="P482" s="797"/>
      <c r="Q482" s="797"/>
      <c r="R482" s="797"/>
      <c r="S482" s="797"/>
      <c r="T482" s="797"/>
      <c r="U482" s="797"/>
      <c r="V482" s="797"/>
      <c r="W482" s="797"/>
      <c r="X482" s="797"/>
      <c r="Y482" s="797"/>
      <c r="Z482" s="797"/>
      <c r="AA482" s="797"/>
      <c r="AB482" s="798"/>
      <c r="AC482" s="799"/>
      <c r="AD482" s="800"/>
      <c r="AE482" s="800"/>
      <c r="AF482" s="801"/>
      <c r="AG482" s="466"/>
      <c r="AH482" s="467"/>
      <c r="AI482" s="467"/>
      <c r="AJ482" s="468"/>
      <c r="AK482" s="737"/>
      <c r="AL482" s="738"/>
      <c r="AM482" s="738"/>
      <c r="AN482" s="739"/>
      <c r="AO482" s="740"/>
      <c r="AP482" s="741"/>
      <c r="AQ482" s="741"/>
      <c r="AR482" s="742"/>
    </row>
    <row r="483" spans="3:44" ht="18" customHeight="1">
      <c r="C483" s="743"/>
      <c r="D483" s="744"/>
      <c r="E483" s="744"/>
      <c r="F483" s="744"/>
      <c r="G483" s="744"/>
      <c r="H483" s="744"/>
      <c r="I483" s="744"/>
      <c r="J483" s="744"/>
      <c r="K483" s="744"/>
      <c r="L483" s="744"/>
      <c r="M483" s="744"/>
      <c r="N483" s="744"/>
      <c r="O483" s="744"/>
      <c r="P483" s="744"/>
      <c r="Q483" s="744"/>
      <c r="R483" s="744"/>
      <c r="S483" s="744"/>
      <c r="T483" s="744"/>
      <c r="U483" s="744"/>
      <c r="V483" s="744"/>
      <c r="W483" s="744"/>
      <c r="X483" s="744"/>
      <c r="Y483" s="745" t="s">
        <v>88</v>
      </c>
      <c r="Z483" s="745"/>
      <c r="AA483" s="745"/>
      <c r="AB483" s="745"/>
      <c r="AC483" s="745"/>
      <c r="AD483" s="745"/>
      <c r="AE483" s="745"/>
      <c r="AF483" s="745"/>
      <c r="AG483" s="745"/>
      <c r="AH483" s="745"/>
      <c r="AI483" s="745"/>
      <c r="AJ483" s="745"/>
      <c r="AK483" s="745"/>
      <c r="AL483" s="745"/>
      <c r="AM483" s="745"/>
      <c r="AN483" s="430"/>
      <c r="AO483" s="477">
        <f>SUM(AO475:AR482)</f>
        <v>4.2</v>
      </c>
      <c r="AP483" s="746"/>
      <c r="AQ483" s="746"/>
      <c r="AR483" s="747"/>
    </row>
    <row r="485" spans="3:44" ht="18" customHeight="1">
      <c r="C485" s="794" t="s">
        <v>43</v>
      </c>
      <c r="D485" s="774"/>
      <c r="E485" s="775"/>
      <c r="F485" s="773" t="s">
        <v>89</v>
      </c>
      <c r="G485" s="774"/>
      <c r="H485" s="774"/>
      <c r="I485" s="774"/>
      <c r="J485" s="774"/>
      <c r="K485" s="774"/>
      <c r="L485" s="774"/>
      <c r="M485" s="774"/>
      <c r="N485" s="774"/>
      <c r="O485" s="774"/>
      <c r="P485" s="774"/>
      <c r="Q485" s="774"/>
      <c r="R485" s="775"/>
      <c r="S485" s="773" t="s">
        <v>90</v>
      </c>
      <c r="T485" s="774"/>
      <c r="U485" s="775"/>
      <c r="V485" s="773" t="s">
        <v>91</v>
      </c>
      <c r="W485" s="774"/>
      <c r="X485" s="775"/>
      <c r="Y485" s="773" t="s">
        <v>92</v>
      </c>
      <c r="Z485" s="774"/>
      <c r="AA485" s="774"/>
      <c r="AB485" s="774"/>
      <c r="AC485" s="774"/>
      <c r="AD485" s="775"/>
      <c r="AE485" s="773" t="s">
        <v>93</v>
      </c>
      <c r="AF485" s="774"/>
      <c r="AG485" s="775"/>
      <c r="AH485" s="773" t="s">
        <v>94</v>
      </c>
      <c r="AI485" s="774"/>
      <c r="AJ485" s="775"/>
      <c r="AK485" s="773" t="s">
        <v>86</v>
      </c>
      <c r="AL485" s="774"/>
      <c r="AM485" s="774"/>
      <c r="AN485" s="775"/>
      <c r="AO485" s="773" t="s">
        <v>87</v>
      </c>
      <c r="AP485" s="774"/>
      <c r="AQ485" s="774"/>
      <c r="AR485" s="779"/>
    </row>
    <row r="486" spans="3:44" ht="18" customHeight="1">
      <c r="C486" s="795"/>
      <c r="D486" s="777"/>
      <c r="E486" s="778"/>
      <c r="F486" s="776"/>
      <c r="G486" s="777"/>
      <c r="H486" s="777"/>
      <c r="I486" s="777"/>
      <c r="J486" s="777"/>
      <c r="K486" s="777"/>
      <c r="L486" s="777"/>
      <c r="M486" s="777"/>
      <c r="N486" s="777"/>
      <c r="O486" s="777"/>
      <c r="P486" s="777"/>
      <c r="Q486" s="777"/>
      <c r="R486" s="778"/>
      <c r="S486" s="776"/>
      <c r="T486" s="777"/>
      <c r="U486" s="778"/>
      <c r="V486" s="776"/>
      <c r="W486" s="777"/>
      <c r="X486" s="778"/>
      <c r="Y486" s="776"/>
      <c r="Z486" s="777"/>
      <c r="AA486" s="777"/>
      <c r="AB486" s="777"/>
      <c r="AC486" s="777"/>
      <c r="AD486" s="778"/>
      <c r="AE486" s="776"/>
      <c r="AF486" s="777"/>
      <c r="AG486" s="778"/>
      <c r="AH486" s="776"/>
      <c r="AI486" s="777"/>
      <c r="AJ486" s="778"/>
      <c r="AK486" s="776"/>
      <c r="AL486" s="777"/>
      <c r="AM486" s="777"/>
      <c r="AN486" s="778"/>
      <c r="AO486" s="776"/>
      <c r="AP486" s="777"/>
      <c r="AQ486" s="777"/>
      <c r="AR486" s="780"/>
    </row>
    <row r="487" spans="3:44" ht="18" customHeight="1">
      <c r="C487" s="781"/>
      <c r="D487" s="782"/>
      <c r="E487" s="783"/>
      <c r="F487" s="457"/>
      <c r="G487" s="457"/>
      <c r="H487" s="457"/>
      <c r="I487" s="457"/>
      <c r="J487" s="457"/>
      <c r="K487" s="457"/>
      <c r="L487" s="457"/>
      <c r="M487" s="457"/>
      <c r="N487" s="457"/>
      <c r="O487" s="457"/>
      <c r="P487" s="457"/>
      <c r="Q487" s="457"/>
      <c r="R487" s="457"/>
      <c r="S487" s="784"/>
      <c r="T487" s="785"/>
      <c r="U487" s="786"/>
      <c r="V487" s="784"/>
      <c r="W487" s="785"/>
      <c r="X487" s="786"/>
      <c r="Y487" s="787"/>
      <c r="Z487" s="788"/>
      <c r="AA487" s="788"/>
      <c r="AB487" s="788"/>
      <c r="AC487" s="788"/>
      <c r="AD487" s="789"/>
      <c r="AE487" s="449"/>
      <c r="AF487" s="449"/>
      <c r="AG487" s="449"/>
      <c r="AH487" s="770"/>
      <c r="AI487" s="771"/>
      <c r="AJ487" s="790"/>
      <c r="AK487" s="791"/>
      <c r="AL487" s="792"/>
      <c r="AM487" s="792"/>
      <c r="AN487" s="793"/>
      <c r="AO487" s="770"/>
      <c r="AP487" s="771"/>
      <c r="AQ487" s="771"/>
      <c r="AR487" s="772"/>
    </row>
    <row r="488" spans="3:44" ht="18" customHeight="1">
      <c r="C488" s="758"/>
      <c r="D488" s="759"/>
      <c r="E488" s="760"/>
      <c r="F488" s="761"/>
      <c r="G488" s="762"/>
      <c r="H488" s="762"/>
      <c r="I488" s="762"/>
      <c r="J488" s="762"/>
      <c r="K488" s="762"/>
      <c r="L488" s="762"/>
      <c r="M488" s="762"/>
      <c r="N488" s="762"/>
      <c r="O488" s="762"/>
      <c r="P488" s="762"/>
      <c r="Q488" s="762"/>
      <c r="R488" s="763"/>
      <c r="S488" s="764"/>
      <c r="T488" s="765"/>
      <c r="U488" s="766"/>
      <c r="V488" s="764"/>
      <c r="W488" s="765"/>
      <c r="X488" s="766"/>
      <c r="Y488" s="767"/>
      <c r="Z488" s="768"/>
      <c r="AA488" s="768"/>
      <c r="AB488" s="768"/>
      <c r="AC488" s="768"/>
      <c r="AD488" s="769"/>
      <c r="AE488" s="740"/>
      <c r="AF488" s="741"/>
      <c r="AG488" s="757"/>
      <c r="AH488" s="740"/>
      <c r="AI488" s="741"/>
      <c r="AJ488" s="757"/>
      <c r="AK488" s="737"/>
      <c r="AL488" s="738"/>
      <c r="AM488" s="738"/>
      <c r="AN488" s="739"/>
      <c r="AO488" s="740">
        <f t="shared" ref="AO488:AO494" si="6">ROUND(AE488*AH488*AK488,2)</f>
        <v>0</v>
      </c>
      <c r="AP488" s="741"/>
      <c r="AQ488" s="741"/>
      <c r="AR488" s="742"/>
    </row>
    <row r="489" spans="3:44" ht="18" customHeight="1">
      <c r="C489" s="758"/>
      <c r="D489" s="759"/>
      <c r="E489" s="760"/>
      <c r="F489" s="761"/>
      <c r="G489" s="762"/>
      <c r="H489" s="762"/>
      <c r="I489" s="762"/>
      <c r="J489" s="762"/>
      <c r="K489" s="762"/>
      <c r="L489" s="762"/>
      <c r="M489" s="762"/>
      <c r="N489" s="762"/>
      <c r="O489" s="762"/>
      <c r="P489" s="762"/>
      <c r="Q489" s="762"/>
      <c r="R489" s="763"/>
      <c r="S489" s="764"/>
      <c r="T489" s="765"/>
      <c r="U489" s="766"/>
      <c r="V489" s="764"/>
      <c r="W489" s="765"/>
      <c r="X489" s="766"/>
      <c r="Y489" s="767"/>
      <c r="Z489" s="768"/>
      <c r="AA489" s="768"/>
      <c r="AB489" s="768"/>
      <c r="AC489" s="768"/>
      <c r="AD489" s="769"/>
      <c r="AE489" s="740"/>
      <c r="AF489" s="741"/>
      <c r="AG489" s="757"/>
      <c r="AH489" s="740"/>
      <c r="AI489" s="741"/>
      <c r="AJ489" s="757"/>
      <c r="AK489" s="737"/>
      <c r="AL489" s="738"/>
      <c r="AM489" s="738"/>
      <c r="AN489" s="739"/>
      <c r="AO489" s="740">
        <f t="shared" si="6"/>
        <v>0</v>
      </c>
      <c r="AP489" s="741"/>
      <c r="AQ489" s="741"/>
      <c r="AR489" s="742"/>
    </row>
    <row r="490" spans="3:44" ht="18" customHeight="1">
      <c r="C490" s="758"/>
      <c r="D490" s="759"/>
      <c r="E490" s="760"/>
      <c r="F490" s="761"/>
      <c r="G490" s="762"/>
      <c r="H490" s="762"/>
      <c r="I490" s="762"/>
      <c r="J490" s="762"/>
      <c r="K490" s="762"/>
      <c r="L490" s="762"/>
      <c r="M490" s="762"/>
      <c r="N490" s="762"/>
      <c r="O490" s="762"/>
      <c r="P490" s="762"/>
      <c r="Q490" s="762"/>
      <c r="R490" s="763"/>
      <c r="S490" s="764"/>
      <c r="T490" s="765"/>
      <c r="U490" s="766"/>
      <c r="V490" s="764"/>
      <c r="W490" s="765"/>
      <c r="X490" s="766"/>
      <c r="Y490" s="767"/>
      <c r="Z490" s="768"/>
      <c r="AA490" s="768"/>
      <c r="AB490" s="768"/>
      <c r="AC490" s="768"/>
      <c r="AD490" s="769"/>
      <c r="AE490" s="740"/>
      <c r="AF490" s="741"/>
      <c r="AG490" s="757"/>
      <c r="AH490" s="740"/>
      <c r="AI490" s="741"/>
      <c r="AJ490" s="757"/>
      <c r="AK490" s="737"/>
      <c r="AL490" s="738"/>
      <c r="AM490" s="738"/>
      <c r="AN490" s="739"/>
      <c r="AO490" s="740">
        <f t="shared" si="6"/>
        <v>0</v>
      </c>
      <c r="AP490" s="741"/>
      <c r="AQ490" s="741"/>
      <c r="AR490" s="742"/>
    </row>
    <row r="491" spans="3:44" ht="18" customHeight="1">
      <c r="C491" s="758"/>
      <c r="D491" s="759"/>
      <c r="E491" s="760"/>
      <c r="F491" s="761"/>
      <c r="G491" s="762"/>
      <c r="H491" s="762"/>
      <c r="I491" s="762"/>
      <c r="J491" s="762"/>
      <c r="K491" s="762"/>
      <c r="L491" s="762"/>
      <c r="M491" s="762"/>
      <c r="N491" s="762"/>
      <c r="O491" s="762"/>
      <c r="P491" s="762"/>
      <c r="Q491" s="762"/>
      <c r="R491" s="763"/>
      <c r="S491" s="764"/>
      <c r="T491" s="765"/>
      <c r="U491" s="766"/>
      <c r="V491" s="764"/>
      <c r="W491" s="765"/>
      <c r="X491" s="766"/>
      <c r="Y491" s="767"/>
      <c r="Z491" s="768"/>
      <c r="AA491" s="768"/>
      <c r="AB491" s="768"/>
      <c r="AC491" s="768"/>
      <c r="AD491" s="769"/>
      <c r="AE491" s="740"/>
      <c r="AF491" s="741"/>
      <c r="AG491" s="757"/>
      <c r="AH491" s="740"/>
      <c r="AI491" s="741"/>
      <c r="AJ491" s="757"/>
      <c r="AK491" s="737"/>
      <c r="AL491" s="738"/>
      <c r="AM491" s="738"/>
      <c r="AN491" s="739"/>
      <c r="AO491" s="740">
        <f t="shared" si="6"/>
        <v>0</v>
      </c>
      <c r="AP491" s="741"/>
      <c r="AQ491" s="741"/>
      <c r="AR491" s="742"/>
    </row>
    <row r="492" spans="3:44" ht="18" customHeight="1">
      <c r="C492" s="758"/>
      <c r="D492" s="759"/>
      <c r="E492" s="760"/>
      <c r="F492" s="761"/>
      <c r="G492" s="762"/>
      <c r="H492" s="762"/>
      <c r="I492" s="762"/>
      <c r="J492" s="762"/>
      <c r="K492" s="762"/>
      <c r="L492" s="762"/>
      <c r="M492" s="762"/>
      <c r="N492" s="762"/>
      <c r="O492" s="762"/>
      <c r="P492" s="762"/>
      <c r="Q492" s="762"/>
      <c r="R492" s="763"/>
      <c r="S492" s="764"/>
      <c r="T492" s="765"/>
      <c r="U492" s="766"/>
      <c r="V492" s="764"/>
      <c r="W492" s="765"/>
      <c r="X492" s="766"/>
      <c r="Y492" s="767"/>
      <c r="Z492" s="768"/>
      <c r="AA492" s="768"/>
      <c r="AB492" s="768"/>
      <c r="AC492" s="768"/>
      <c r="AD492" s="769"/>
      <c r="AE492" s="740"/>
      <c r="AF492" s="741"/>
      <c r="AG492" s="757"/>
      <c r="AH492" s="740"/>
      <c r="AI492" s="741"/>
      <c r="AJ492" s="757"/>
      <c r="AK492" s="737"/>
      <c r="AL492" s="738"/>
      <c r="AM492" s="738"/>
      <c r="AN492" s="739"/>
      <c r="AO492" s="740">
        <f t="shared" si="6"/>
        <v>0</v>
      </c>
      <c r="AP492" s="741"/>
      <c r="AQ492" s="741"/>
      <c r="AR492" s="742"/>
    </row>
    <row r="493" spans="3:44" ht="18" customHeight="1">
      <c r="C493" s="758"/>
      <c r="D493" s="759"/>
      <c r="E493" s="760"/>
      <c r="F493" s="761"/>
      <c r="G493" s="762"/>
      <c r="H493" s="762"/>
      <c r="I493" s="762"/>
      <c r="J493" s="762"/>
      <c r="K493" s="762"/>
      <c r="L493" s="762"/>
      <c r="M493" s="762"/>
      <c r="N493" s="762"/>
      <c r="O493" s="762"/>
      <c r="P493" s="762"/>
      <c r="Q493" s="762"/>
      <c r="R493" s="763"/>
      <c r="S493" s="764"/>
      <c r="T493" s="765"/>
      <c r="U493" s="766"/>
      <c r="V493" s="764"/>
      <c r="W493" s="765"/>
      <c r="X493" s="766"/>
      <c r="Y493" s="767"/>
      <c r="Z493" s="768"/>
      <c r="AA493" s="768"/>
      <c r="AB493" s="768"/>
      <c r="AC493" s="768"/>
      <c r="AD493" s="769"/>
      <c r="AE493" s="740"/>
      <c r="AF493" s="741"/>
      <c r="AG493" s="757"/>
      <c r="AH493" s="740"/>
      <c r="AI493" s="741"/>
      <c r="AJ493" s="757"/>
      <c r="AK493" s="737"/>
      <c r="AL493" s="738"/>
      <c r="AM493" s="738"/>
      <c r="AN493" s="739"/>
      <c r="AO493" s="740">
        <f t="shared" si="6"/>
        <v>0</v>
      </c>
      <c r="AP493" s="741"/>
      <c r="AQ493" s="741"/>
      <c r="AR493" s="742"/>
    </row>
    <row r="494" spans="3:44" ht="18" customHeight="1">
      <c r="C494" s="758"/>
      <c r="D494" s="759"/>
      <c r="E494" s="760"/>
      <c r="F494" s="761"/>
      <c r="G494" s="762"/>
      <c r="H494" s="762"/>
      <c r="I494" s="762"/>
      <c r="J494" s="762"/>
      <c r="K494" s="762"/>
      <c r="L494" s="762"/>
      <c r="M494" s="762"/>
      <c r="N494" s="762"/>
      <c r="O494" s="762"/>
      <c r="P494" s="762"/>
      <c r="Q494" s="762"/>
      <c r="R494" s="763"/>
      <c r="S494" s="764"/>
      <c r="T494" s="765"/>
      <c r="U494" s="766"/>
      <c r="V494" s="764"/>
      <c r="W494" s="765"/>
      <c r="X494" s="766"/>
      <c r="Y494" s="767"/>
      <c r="Z494" s="768"/>
      <c r="AA494" s="768"/>
      <c r="AB494" s="768"/>
      <c r="AC494" s="768"/>
      <c r="AD494" s="769"/>
      <c r="AE494" s="740"/>
      <c r="AF494" s="741"/>
      <c r="AG494" s="757"/>
      <c r="AH494" s="740"/>
      <c r="AI494" s="741"/>
      <c r="AJ494" s="757"/>
      <c r="AK494" s="737"/>
      <c r="AL494" s="738"/>
      <c r="AM494" s="738"/>
      <c r="AN494" s="739"/>
      <c r="AO494" s="740">
        <f t="shared" si="6"/>
        <v>0</v>
      </c>
      <c r="AP494" s="741"/>
      <c r="AQ494" s="741"/>
      <c r="AR494" s="742"/>
    </row>
    <row r="495" spans="3:44" ht="18" customHeight="1">
      <c r="C495" s="743"/>
      <c r="D495" s="744"/>
      <c r="E495" s="744"/>
      <c r="F495" s="744"/>
      <c r="G495" s="744"/>
      <c r="H495" s="744"/>
      <c r="I495" s="744"/>
      <c r="J495" s="744"/>
      <c r="K495" s="744"/>
      <c r="L495" s="744"/>
      <c r="M495" s="744"/>
      <c r="N495" s="744"/>
      <c r="O495" s="744"/>
      <c r="P495" s="744"/>
      <c r="Q495" s="744"/>
      <c r="R495" s="744"/>
      <c r="S495" s="744"/>
      <c r="T495" s="744"/>
      <c r="U495" s="744"/>
      <c r="V495" s="744"/>
      <c r="W495" s="744"/>
      <c r="X495" s="744"/>
      <c r="Y495" s="745" t="s">
        <v>95</v>
      </c>
      <c r="Z495" s="745"/>
      <c r="AA495" s="745"/>
      <c r="AB495" s="745"/>
      <c r="AC495" s="745"/>
      <c r="AD495" s="745"/>
      <c r="AE495" s="745"/>
      <c r="AF495" s="745"/>
      <c r="AG495" s="745"/>
      <c r="AH495" s="745"/>
      <c r="AI495" s="745"/>
      <c r="AJ495" s="745"/>
      <c r="AK495" s="745"/>
      <c r="AL495" s="745"/>
      <c r="AM495" s="745"/>
      <c r="AN495" s="430"/>
      <c r="AO495" s="477">
        <f>SUM(AO487:AR494)</f>
        <v>0</v>
      </c>
      <c r="AP495" s="746"/>
      <c r="AQ495" s="746"/>
      <c r="AR495" s="747"/>
    </row>
    <row r="497" spans="1:44" ht="18" customHeight="1">
      <c r="C497" s="434"/>
      <c r="D497" s="434"/>
      <c r="E497" s="434"/>
      <c r="F497" s="434"/>
      <c r="G497" s="434"/>
      <c r="H497" s="434"/>
      <c r="I497" s="434"/>
      <c r="J497" s="434"/>
      <c r="K497" s="434"/>
      <c r="L497" s="434"/>
      <c r="M497" s="434"/>
      <c r="N497" s="434"/>
      <c r="O497" s="434"/>
      <c r="P497" s="434"/>
      <c r="Q497" s="434"/>
      <c r="R497" s="434"/>
      <c r="S497" s="434"/>
      <c r="T497" s="434"/>
      <c r="U497" s="434"/>
      <c r="V497" s="434"/>
      <c r="W497" s="434"/>
      <c r="X497" s="748"/>
      <c r="Y497" s="749" t="s">
        <v>96</v>
      </c>
      <c r="Z497" s="750"/>
      <c r="AA497" s="750"/>
      <c r="AB497" s="750"/>
      <c r="AC497" s="750"/>
      <c r="AD497" s="750"/>
      <c r="AE497" s="750"/>
      <c r="AF497" s="750"/>
      <c r="AG497" s="750"/>
      <c r="AH497" s="750"/>
      <c r="AI497" s="750"/>
      <c r="AJ497" s="750"/>
      <c r="AK497" s="750"/>
      <c r="AL497" s="750"/>
      <c r="AM497" s="750"/>
      <c r="AN497" s="751"/>
      <c r="AO497" s="752">
        <f>AO471+AO483+AO495</f>
        <v>10.71</v>
      </c>
      <c r="AP497" s="753"/>
      <c r="AQ497" s="753"/>
      <c r="AR497" s="754"/>
    </row>
    <row r="498" spans="1:44" ht="18" customHeight="1">
      <c r="C498" s="434"/>
      <c r="D498" s="434"/>
      <c r="E498" s="434"/>
      <c r="F498" s="434"/>
      <c r="G498" s="434"/>
      <c r="H498" s="434"/>
      <c r="I498" s="434"/>
      <c r="J498" s="434"/>
      <c r="K498" s="434"/>
      <c r="L498" s="434"/>
      <c r="M498" s="434"/>
      <c r="N498" s="434"/>
      <c r="O498" s="434"/>
      <c r="P498" s="434"/>
      <c r="Q498" s="434"/>
      <c r="R498" s="434"/>
      <c r="S498" s="434"/>
      <c r="T498" s="434"/>
      <c r="U498" s="434"/>
      <c r="V498" s="434"/>
      <c r="W498" s="434"/>
      <c r="X498" s="748"/>
      <c r="Y498" s="755" t="s">
        <v>97</v>
      </c>
      <c r="Z498" s="756"/>
      <c r="AA498" s="756"/>
      <c r="AB498" s="756"/>
      <c r="AC498" s="756"/>
      <c r="AD498" s="756"/>
      <c r="AE498" s="756"/>
      <c r="AF498" s="756"/>
      <c r="AG498" s="756"/>
      <c r="AH498" s="442">
        <v>0.2031</v>
      </c>
      <c r="AI498" s="442"/>
      <c r="AJ498" s="442"/>
      <c r="AK498" s="442"/>
      <c r="AL498" s="442"/>
      <c r="AM498" s="442"/>
      <c r="AN498" s="443"/>
      <c r="AO498" s="728">
        <f>ROUND(AO497*AH498,2)</f>
        <v>2.1800000000000002</v>
      </c>
      <c r="AP498" s="729"/>
      <c r="AQ498" s="729"/>
      <c r="AR498" s="730"/>
    </row>
    <row r="499" spans="1:44" ht="18" customHeight="1">
      <c r="A499" s="415" t="s">
        <v>667</v>
      </c>
      <c r="B499" s="415"/>
      <c r="C499" s="434"/>
      <c r="D499" s="434"/>
      <c r="E499" s="434"/>
      <c r="F499" s="434"/>
      <c r="G499" s="434"/>
      <c r="H499" s="434"/>
      <c r="I499" s="434"/>
      <c r="J499" s="434"/>
      <c r="K499" s="434"/>
      <c r="L499" s="434"/>
      <c r="M499" s="434"/>
      <c r="N499" s="434"/>
      <c r="O499" s="434"/>
      <c r="P499" s="434"/>
      <c r="Q499" s="434"/>
      <c r="R499" s="434"/>
      <c r="S499" s="434"/>
      <c r="T499" s="434"/>
      <c r="U499" s="434"/>
      <c r="V499" s="434"/>
      <c r="W499" s="434"/>
      <c r="X499" s="748"/>
      <c r="Y499" s="731" t="s">
        <v>98</v>
      </c>
      <c r="Z499" s="732"/>
      <c r="AA499" s="732"/>
      <c r="AB499" s="732"/>
      <c r="AC499" s="732"/>
      <c r="AD499" s="732"/>
      <c r="AE499" s="732"/>
      <c r="AF499" s="732"/>
      <c r="AG499" s="732"/>
      <c r="AH499" s="732"/>
      <c r="AI499" s="732"/>
      <c r="AJ499" s="732"/>
      <c r="AK499" s="732"/>
      <c r="AL499" s="732"/>
      <c r="AM499" s="732"/>
      <c r="AN499" s="733"/>
      <c r="AO499" s="734">
        <f>SUM(AO497:AR498)</f>
        <v>12.89</v>
      </c>
      <c r="AP499" s="735"/>
      <c r="AQ499" s="735"/>
      <c r="AR499" s="736"/>
    </row>
    <row r="501" spans="1:44" ht="18" customHeight="1">
      <c r="C501" s="420" t="s">
        <v>99</v>
      </c>
      <c r="D501" s="421"/>
      <c r="E501" s="421"/>
      <c r="F501" s="421"/>
      <c r="G501" s="421"/>
      <c r="H501" s="421"/>
      <c r="I501" s="422"/>
      <c r="J501" s="422"/>
      <c r="K501" s="422"/>
      <c r="L501" s="422"/>
      <c r="M501" s="422"/>
      <c r="N501" s="422"/>
      <c r="O501" s="422"/>
      <c r="P501" s="422"/>
      <c r="Q501" s="422"/>
      <c r="R501" s="422"/>
      <c r="S501" s="422"/>
      <c r="T501" s="422"/>
      <c r="U501" s="422"/>
      <c r="V501" s="422"/>
      <c r="W501" s="422"/>
      <c r="X501" s="422"/>
      <c r="Y501" s="422"/>
      <c r="Z501" s="422"/>
      <c r="AA501" s="422"/>
      <c r="AB501" s="422"/>
      <c r="AC501" s="422"/>
      <c r="AD501" s="422"/>
      <c r="AE501" s="422"/>
      <c r="AF501" s="422"/>
      <c r="AG501" s="422"/>
      <c r="AH501" s="422"/>
      <c r="AI501" s="422"/>
      <c r="AJ501" s="422"/>
      <c r="AK501" s="422"/>
      <c r="AL501" s="422"/>
      <c r="AM501" s="422"/>
      <c r="AN501" s="422"/>
      <c r="AO501" s="422"/>
      <c r="AP501" s="422"/>
      <c r="AQ501" s="422"/>
      <c r="AR501" s="423"/>
    </row>
    <row r="502" spans="1:44" ht="18" customHeight="1">
      <c r="C502" s="411"/>
      <c r="D502" s="412"/>
      <c r="E502" s="412"/>
      <c r="F502" s="412"/>
      <c r="G502" s="412"/>
      <c r="H502" s="412"/>
      <c r="I502" s="409"/>
      <c r="J502" s="409"/>
      <c r="K502" s="409"/>
      <c r="L502" s="409"/>
      <c r="M502" s="409"/>
      <c r="N502" s="409"/>
      <c r="O502" s="409"/>
      <c r="P502" s="409"/>
      <c r="Q502" s="409"/>
      <c r="R502" s="409"/>
      <c r="S502" s="409"/>
      <c r="T502" s="409"/>
      <c r="U502" s="409"/>
      <c r="V502" s="409"/>
      <c r="W502" s="409"/>
      <c r="X502" s="409"/>
      <c r="Y502" s="409"/>
      <c r="Z502" s="409"/>
      <c r="AA502" s="409"/>
      <c r="AB502" s="409"/>
      <c r="AC502" s="409"/>
      <c r="AD502" s="409"/>
      <c r="AE502" s="409"/>
      <c r="AF502" s="409"/>
      <c r="AG502" s="409"/>
      <c r="AH502" s="409"/>
      <c r="AI502" s="409"/>
      <c r="AJ502" s="409"/>
      <c r="AK502" s="409"/>
      <c r="AL502" s="409"/>
      <c r="AM502" s="409"/>
      <c r="AN502" s="409"/>
      <c r="AO502" s="409"/>
      <c r="AP502" s="409"/>
      <c r="AQ502" s="409"/>
      <c r="AR502" s="410"/>
    </row>
    <row r="503" spans="1:44" ht="18" customHeight="1">
      <c r="C503" s="411"/>
      <c r="D503" s="412"/>
      <c r="E503" s="412"/>
      <c r="F503" s="412"/>
      <c r="G503" s="412"/>
      <c r="H503" s="412"/>
      <c r="I503" s="409"/>
      <c r="J503" s="409"/>
      <c r="K503" s="409"/>
      <c r="L503" s="409"/>
      <c r="M503" s="409"/>
      <c r="N503" s="409"/>
      <c r="O503" s="409"/>
      <c r="P503" s="409"/>
      <c r="Q503" s="409"/>
      <c r="R503" s="409"/>
      <c r="S503" s="409"/>
      <c r="T503" s="409"/>
      <c r="U503" s="409"/>
      <c r="V503" s="409"/>
      <c r="W503" s="409"/>
      <c r="X503" s="409"/>
      <c r="Y503" s="409"/>
      <c r="Z503" s="409"/>
      <c r="AA503" s="409"/>
      <c r="AB503" s="409"/>
      <c r="AC503" s="409"/>
      <c r="AD503" s="409"/>
      <c r="AE503" s="409"/>
      <c r="AF503" s="409"/>
      <c r="AG503" s="409"/>
      <c r="AH503" s="409"/>
      <c r="AI503" s="409"/>
      <c r="AJ503" s="409"/>
      <c r="AK503" s="409"/>
      <c r="AL503" s="409"/>
      <c r="AM503" s="409"/>
      <c r="AN503" s="409"/>
      <c r="AO503" s="409"/>
      <c r="AP503" s="409"/>
      <c r="AQ503" s="409"/>
      <c r="AR503" s="410"/>
    </row>
    <row r="504" spans="1:44" ht="18" customHeight="1">
      <c r="C504" s="411"/>
      <c r="D504" s="412"/>
      <c r="E504" s="412"/>
      <c r="F504" s="412"/>
      <c r="G504" s="412"/>
      <c r="H504" s="412"/>
      <c r="I504" s="409"/>
      <c r="J504" s="409"/>
      <c r="K504" s="409"/>
      <c r="L504" s="409"/>
      <c r="M504" s="409"/>
      <c r="N504" s="409"/>
      <c r="O504" s="409"/>
      <c r="P504" s="409"/>
      <c r="Q504" s="409"/>
      <c r="R504" s="409"/>
      <c r="S504" s="409"/>
      <c r="T504" s="409"/>
      <c r="U504" s="409"/>
      <c r="V504" s="409"/>
      <c r="W504" s="409"/>
      <c r="X504" s="409"/>
      <c r="Y504" s="409"/>
      <c r="Z504" s="409"/>
      <c r="AA504" s="409"/>
      <c r="AB504" s="409"/>
      <c r="AC504" s="409"/>
      <c r="AD504" s="409"/>
      <c r="AE504" s="409"/>
      <c r="AF504" s="409"/>
      <c r="AG504" s="409"/>
      <c r="AH504" s="409"/>
      <c r="AI504" s="409"/>
      <c r="AJ504" s="409"/>
      <c r="AK504" s="409"/>
      <c r="AL504" s="409"/>
      <c r="AM504" s="409"/>
      <c r="AN504" s="409"/>
      <c r="AO504" s="409"/>
      <c r="AP504" s="409"/>
      <c r="AQ504" s="409"/>
      <c r="AR504" s="410"/>
    </row>
    <row r="505" spans="1:44" ht="18" customHeight="1">
      <c r="C505" s="411"/>
      <c r="D505" s="412"/>
      <c r="E505" s="412"/>
      <c r="F505" s="412"/>
      <c r="G505" s="412"/>
      <c r="H505" s="412"/>
      <c r="I505" s="409"/>
      <c r="J505" s="409"/>
      <c r="K505" s="409"/>
      <c r="L505" s="409"/>
      <c r="M505" s="409"/>
      <c r="N505" s="409"/>
      <c r="O505" s="409"/>
      <c r="P505" s="409"/>
      <c r="Q505" s="409"/>
      <c r="R505" s="409"/>
      <c r="S505" s="409"/>
      <c r="T505" s="409"/>
      <c r="U505" s="409"/>
      <c r="V505" s="409"/>
      <c r="W505" s="409"/>
      <c r="X505" s="409"/>
      <c r="Y505" s="409"/>
      <c r="Z505" s="409"/>
      <c r="AA505" s="409"/>
      <c r="AB505" s="409"/>
      <c r="AC505" s="409"/>
      <c r="AD505" s="409"/>
      <c r="AE505" s="409"/>
      <c r="AF505" s="409"/>
      <c r="AG505" s="409"/>
      <c r="AH505" s="409"/>
      <c r="AI505" s="409"/>
      <c r="AJ505" s="409"/>
      <c r="AK505" s="409"/>
      <c r="AL505" s="409"/>
      <c r="AM505" s="409"/>
      <c r="AN505" s="409"/>
      <c r="AO505" s="409"/>
      <c r="AP505" s="409"/>
      <c r="AQ505" s="409"/>
      <c r="AR505" s="410"/>
    </row>
    <row r="506" spans="1:44" ht="18" customHeight="1">
      <c r="C506" s="385"/>
      <c r="D506" s="386"/>
      <c r="E506" s="386"/>
      <c r="F506" s="386"/>
      <c r="G506" s="386"/>
      <c r="H506" s="386"/>
      <c r="I506" s="387"/>
      <c r="J506" s="387"/>
      <c r="K506" s="387"/>
      <c r="L506" s="387"/>
      <c r="M506" s="387"/>
      <c r="N506" s="387"/>
      <c r="O506" s="387"/>
      <c r="P506" s="387"/>
      <c r="Q506" s="387"/>
      <c r="R506" s="387"/>
      <c r="S506" s="387"/>
      <c r="T506" s="387"/>
      <c r="U506" s="387"/>
      <c r="V506" s="387"/>
      <c r="W506" s="387"/>
      <c r="X506" s="387"/>
      <c r="Y506" s="387"/>
      <c r="Z506" s="387"/>
      <c r="AA506" s="387"/>
      <c r="AB506" s="387"/>
      <c r="AC506" s="387"/>
      <c r="AD506" s="387"/>
      <c r="AE506" s="387"/>
      <c r="AF506" s="387"/>
      <c r="AG506" s="387"/>
      <c r="AH506" s="387"/>
      <c r="AI506" s="387"/>
      <c r="AJ506" s="387"/>
      <c r="AK506" s="387"/>
      <c r="AL506" s="387"/>
      <c r="AM506" s="387"/>
      <c r="AN506" s="387"/>
      <c r="AO506" s="387"/>
      <c r="AP506" s="387"/>
      <c r="AQ506" s="387"/>
      <c r="AR506" s="388"/>
    </row>
    <row r="508" spans="1:44" ht="18" customHeight="1">
      <c r="C508" s="389" t="s">
        <v>100</v>
      </c>
      <c r="D508" s="390"/>
      <c r="E508" s="390"/>
      <c r="F508" s="390"/>
      <c r="G508" s="390"/>
      <c r="H508" s="390"/>
      <c r="I508" s="390"/>
      <c r="J508" s="390"/>
      <c r="K508" s="390"/>
      <c r="L508" s="390"/>
      <c r="M508" s="390"/>
      <c r="N508" s="390"/>
      <c r="O508" s="390"/>
      <c r="P508" s="390"/>
      <c r="Q508" s="390"/>
      <c r="R508" s="390"/>
      <c r="S508" s="390"/>
      <c r="T508" s="390"/>
      <c r="U508" s="390"/>
      <c r="V508" s="390"/>
      <c r="W508" s="390"/>
      <c r="X508" s="390"/>
      <c r="Y508" s="390"/>
      <c r="Z508" s="390"/>
      <c r="AA508" s="391"/>
      <c r="AB508" s="392" t="str">
        <f>[4]C.UNIT.SERV.!$E$5</f>
        <v>DATA-BASE:      MAIO/2011/PR</v>
      </c>
      <c r="AC508" s="393"/>
      <c r="AD508" s="393"/>
      <c r="AE508" s="393"/>
      <c r="AF508" s="393"/>
      <c r="AG508" s="393"/>
      <c r="AH508" s="393"/>
      <c r="AI508" s="394"/>
      <c r="AJ508" s="392"/>
      <c r="AK508" s="393"/>
      <c r="AL508" s="393"/>
      <c r="AM508" s="393"/>
      <c r="AN508" s="393"/>
      <c r="AO508" s="393"/>
      <c r="AP508" s="393"/>
      <c r="AQ508" s="393"/>
      <c r="AR508" s="401"/>
    </row>
    <row r="509" spans="1:44" ht="18" customHeight="1">
      <c r="C509" s="404" t="s">
        <v>101</v>
      </c>
      <c r="D509" s="405"/>
      <c r="E509" s="405"/>
      <c r="F509" s="405"/>
      <c r="G509" s="405" t="s">
        <v>283</v>
      </c>
      <c r="H509" s="405"/>
      <c r="I509" s="405"/>
      <c r="J509" s="405"/>
      <c r="K509" s="405"/>
      <c r="L509" s="405"/>
      <c r="M509" s="405"/>
      <c r="N509" s="405"/>
      <c r="O509" s="405"/>
      <c r="P509" s="405"/>
      <c r="Q509" s="405"/>
      <c r="R509" s="405"/>
      <c r="S509" s="405"/>
      <c r="T509" s="405"/>
      <c r="U509" s="405"/>
      <c r="V509" s="405"/>
      <c r="W509" s="405"/>
      <c r="X509" s="405"/>
      <c r="Y509" s="405"/>
      <c r="Z509" s="405"/>
      <c r="AA509" s="406"/>
      <c r="AB509" s="395"/>
      <c r="AC509" s="396"/>
      <c r="AD509" s="396"/>
      <c r="AE509" s="396"/>
      <c r="AF509" s="396"/>
      <c r="AG509" s="396"/>
      <c r="AH509" s="396"/>
      <c r="AI509" s="397"/>
      <c r="AJ509" s="395"/>
      <c r="AK509" s="396"/>
      <c r="AL509" s="396"/>
      <c r="AM509" s="396"/>
      <c r="AN509" s="396"/>
      <c r="AO509" s="396"/>
      <c r="AP509" s="396"/>
      <c r="AQ509" s="396"/>
      <c r="AR509" s="402"/>
    </row>
    <row r="510" spans="1:44" ht="18" customHeight="1">
      <c r="C510" s="404" t="s">
        <v>102</v>
      </c>
      <c r="D510" s="405"/>
      <c r="E510" s="405"/>
      <c r="F510" s="405"/>
      <c r="G510" s="405"/>
      <c r="H510" s="405"/>
      <c r="I510" s="405"/>
      <c r="J510" s="405"/>
      <c r="K510" s="405"/>
      <c r="L510" s="405"/>
      <c r="M510" s="405"/>
      <c r="N510" s="405"/>
      <c r="O510" s="405"/>
      <c r="P510" s="405"/>
      <c r="Q510" s="405"/>
      <c r="R510" s="405"/>
      <c r="S510" s="405"/>
      <c r="T510" s="405"/>
      <c r="U510" s="405"/>
      <c r="V510" s="405"/>
      <c r="W510" s="405"/>
      <c r="X510" s="405"/>
      <c r="Y510" s="405"/>
      <c r="Z510" s="405"/>
      <c r="AA510" s="406"/>
      <c r="AB510" s="395"/>
      <c r="AC510" s="396"/>
      <c r="AD510" s="396"/>
      <c r="AE510" s="396"/>
      <c r="AF510" s="396"/>
      <c r="AG510" s="396"/>
      <c r="AH510" s="396"/>
      <c r="AI510" s="397"/>
      <c r="AJ510" s="395"/>
      <c r="AK510" s="396"/>
      <c r="AL510" s="396"/>
      <c r="AM510" s="396"/>
      <c r="AN510" s="396"/>
      <c r="AO510" s="396"/>
      <c r="AP510" s="396"/>
      <c r="AQ510" s="396"/>
      <c r="AR510" s="402"/>
    </row>
    <row r="511" spans="1:44" ht="18" customHeight="1">
      <c r="C511" s="407"/>
      <c r="D511" s="408"/>
      <c r="E511" s="408"/>
      <c r="F511" s="408"/>
      <c r="G511" s="408"/>
      <c r="H511" s="408"/>
      <c r="I511" s="408"/>
      <c r="J511" s="408"/>
      <c r="K511" s="408"/>
      <c r="L511" s="408"/>
      <c r="M511" s="408"/>
      <c r="N511" s="408"/>
      <c r="O511" s="408"/>
      <c r="P511" s="408"/>
      <c r="Q511" s="408"/>
      <c r="R511" s="408"/>
      <c r="S511" s="408"/>
      <c r="T511" s="408"/>
      <c r="U511" s="408"/>
      <c r="V511" s="408"/>
      <c r="W511" s="408"/>
      <c r="X511" s="408"/>
      <c r="Y511" s="408"/>
      <c r="Z511" s="408"/>
      <c r="AA511" s="408"/>
      <c r="AB511" s="398"/>
      <c r="AC511" s="399"/>
      <c r="AD511" s="399"/>
      <c r="AE511" s="399"/>
      <c r="AF511" s="399"/>
      <c r="AG511" s="399"/>
      <c r="AH511" s="399"/>
      <c r="AI511" s="400"/>
      <c r="AJ511" s="398"/>
      <c r="AK511" s="399"/>
      <c r="AL511" s="399"/>
      <c r="AM511" s="399"/>
      <c r="AN511" s="399"/>
      <c r="AO511" s="399"/>
      <c r="AP511" s="399"/>
      <c r="AQ511" s="399"/>
      <c r="AR511" s="403"/>
    </row>
    <row r="513" spans="3:44" ht="18" customHeight="1">
      <c r="C513" s="850" t="s">
        <v>64</v>
      </c>
      <c r="D513" s="851"/>
      <c r="E513" s="851"/>
      <c r="F513" s="851"/>
      <c r="G513" s="851"/>
      <c r="H513" s="851"/>
      <c r="I513" s="851"/>
      <c r="J513" s="851"/>
      <c r="K513" s="851"/>
      <c r="L513" s="851"/>
      <c r="M513" s="851"/>
      <c r="N513" s="851"/>
      <c r="O513" s="851"/>
      <c r="P513" s="851"/>
      <c r="Q513" s="851"/>
      <c r="R513" s="851"/>
      <c r="S513" s="851"/>
      <c r="T513" s="851"/>
      <c r="U513" s="851"/>
      <c r="V513" s="851"/>
      <c r="W513" s="851"/>
      <c r="X513" s="851"/>
      <c r="Y513" s="851"/>
      <c r="Z513" s="851"/>
      <c r="AA513" s="851"/>
      <c r="AB513" s="851"/>
      <c r="AC513" s="851"/>
      <c r="AD513" s="851"/>
      <c r="AE513" s="851"/>
      <c r="AF513" s="851"/>
      <c r="AG513" s="851"/>
      <c r="AH513" s="851"/>
      <c r="AI513" s="851"/>
      <c r="AJ513" s="851"/>
      <c r="AK513" s="851"/>
      <c r="AL513" s="851"/>
      <c r="AM513" s="851"/>
      <c r="AN513" s="851"/>
      <c r="AO513" s="851"/>
      <c r="AP513" s="851"/>
      <c r="AQ513" s="851"/>
      <c r="AR513" s="852"/>
    </row>
    <row r="514" spans="3:44" ht="18" customHeight="1">
      <c r="C514" s="853"/>
      <c r="D514" s="854"/>
      <c r="E514" s="854"/>
      <c r="F514" s="854"/>
      <c r="G514" s="854"/>
      <c r="H514" s="854"/>
      <c r="I514" s="854"/>
      <c r="J514" s="854"/>
      <c r="K514" s="854"/>
      <c r="L514" s="854"/>
      <c r="M514" s="854"/>
      <c r="N514" s="854"/>
      <c r="O514" s="854"/>
      <c r="P514" s="854"/>
      <c r="Q514" s="854"/>
      <c r="R514" s="854"/>
      <c r="S514" s="854"/>
      <c r="T514" s="854"/>
      <c r="U514" s="854"/>
      <c r="V514" s="854"/>
      <c r="W514" s="854"/>
      <c r="X514" s="854"/>
      <c r="Y514" s="854"/>
      <c r="Z514" s="854"/>
      <c r="AA514" s="854"/>
      <c r="AB514" s="854"/>
      <c r="AC514" s="854"/>
      <c r="AD514" s="854"/>
      <c r="AE514" s="854"/>
      <c r="AF514" s="854"/>
      <c r="AG514" s="854"/>
      <c r="AH514" s="854"/>
      <c r="AI514" s="854"/>
      <c r="AJ514" s="854"/>
      <c r="AK514" s="854"/>
      <c r="AL514" s="854"/>
      <c r="AM514" s="854"/>
      <c r="AN514" s="854"/>
      <c r="AO514" s="854"/>
      <c r="AP514" s="854"/>
      <c r="AQ514" s="854"/>
      <c r="AR514" s="855"/>
    </row>
    <row r="515" spans="3:44" ht="18" customHeight="1">
      <c r="C515" s="856" t="s">
        <v>65</v>
      </c>
      <c r="D515" s="857"/>
      <c r="E515" s="857"/>
      <c r="F515" s="857"/>
      <c r="G515" s="860" t="s">
        <v>668</v>
      </c>
      <c r="H515" s="860"/>
      <c r="I515" s="860"/>
      <c r="J515" s="861"/>
      <c r="K515" s="864" t="s">
        <v>66</v>
      </c>
      <c r="L515" s="865"/>
      <c r="M515" s="865"/>
      <c r="N515" s="865"/>
      <c r="O515" s="522" t="s">
        <v>698</v>
      </c>
      <c r="P515" s="523"/>
      <c r="Q515" s="523"/>
      <c r="R515" s="523"/>
      <c r="S515" s="523"/>
      <c r="T515" s="523"/>
      <c r="U515" s="523"/>
      <c r="V515" s="523"/>
      <c r="W515" s="523"/>
      <c r="X515" s="523"/>
      <c r="Y515" s="523"/>
      <c r="Z515" s="523"/>
      <c r="AA515" s="523"/>
      <c r="AB515" s="523"/>
      <c r="AC515" s="523"/>
      <c r="AD515" s="523"/>
      <c r="AE515" s="523"/>
      <c r="AF515" s="523"/>
      <c r="AG515" s="523"/>
      <c r="AH515" s="523"/>
      <c r="AI515" s="523"/>
      <c r="AJ515" s="523"/>
      <c r="AK515" s="523"/>
      <c r="AL515" s="864" t="s">
        <v>67</v>
      </c>
      <c r="AM515" s="865"/>
      <c r="AN515" s="865"/>
      <c r="AO515" s="865"/>
      <c r="AP515" s="843" t="s">
        <v>246</v>
      </c>
      <c r="AQ515" s="843"/>
      <c r="AR515" s="844"/>
    </row>
    <row r="516" spans="3:44" ht="18" customHeight="1">
      <c r="C516" s="858"/>
      <c r="D516" s="859"/>
      <c r="E516" s="859"/>
      <c r="F516" s="859"/>
      <c r="G516" s="862"/>
      <c r="H516" s="862"/>
      <c r="I516" s="862"/>
      <c r="J516" s="863"/>
      <c r="K516" s="866"/>
      <c r="L516" s="867"/>
      <c r="M516" s="867"/>
      <c r="N516" s="867"/>
      <c r="O516" s="524"/>
      <c r="P516" s="525"/>
      <c r="Q516" s="525"/>
      <c r="R516" s="525"/>
      <c r="S516" s="525"/>
      <c r="T516" s="525"/>
      <c r="U516" s="525"/>
      <c r="V516" s="525"/>
      <c r="W516" s="525"/>
      <c r="X516" s="525"/>
      <c r="Y516" s="525"/>
      <c r="Z516" s="525"/>
      <c r="AA516" s="525"/>
      <c r="AB516" s="525"/>
      <c r="AC516" s="525"/>
      <c r="AD516" s="525"/>
      <c r="AE516" s="525"/>
      <c r="AF516" s="525"/>
      <c r="AG516" s="525"/>
      <c r="AH516" s="525"/>
      <c r="AI516" s="525"/>
      <c r="AJ516" s="525"/>
      <c r="AK516" s="525"/>
      <c r="AL516" s="866"/>
      <c r="AM516" s="867"/>
      <c r="AN516" s="867"/>
      <c r="AO516" s="867"/>
      <c r="AP516" s="845"/>
      <c r="AQ516" s="845"/>
      <c r="AR516" s="846"/>
    </row>
    <row r="518" spans="3:44" ht="18" customHeight="1">
      <c r="C518" s="794" t="s">
        <v>43</v>
      </c>
      <c r="D518" s="774"/>
      <c r="E518" s="775"/>
      <c r="F518" s="773" t="s">
        <v>68</v>
      </c>
      <c r="G518" s="774"/>
      <c r="H518" s="774"/>
      <c r="I518" s="774"/>
      <c r="J518" s="774"/>
      <c r="K518" s="774"/>
      <c r="L518" s="774"/>
      <c r="M518" s="774"/>
      <c r="N518" s="774"/>
      <c r="O518" s="774"/>
      <c r="P518" s="774"/>
      <c r="Q518" s="774"/>
      <c r="R518" s="774"/>
      <c r="S518" s="774"/>
      <c r="T518" s="774"/>
      <c r="U518" s="775"/>
      <c r="V518" s="773" t="s">
        <v>249</v>
      </c>
      <c r="W518" s="774"/>
      <c r="X518" s="775"/>
      <c r="Y518" s="847" t="s">
        <v>69</v>
      </c>
      <c r="Z518" s="848"/>
      <c r="AA518" s="848"/>
      <c r="AB518" s="848"/>
      <c r="AC518" s="848"/>
      <c r="AD518" s="848"/>
      <c r="AE518" s="848"/>
      <c r="AF518" s="849"/>
      <c r="AG518" s="847" t="s">
        <v>70</v>
      </c>
      <c r="AH518" s="848"/>
      <c r="AI518" s="848"/>
      <c r="AJ518" s="848"/>
      <c r="AK518" s="848"/>
      <c r="AL518" s="848"/>
      <c r="AM518" s="848"/>
      <c r="AN518" s="849"/>
      <c r="AO518" s="773" t="s">
        <v>71</v>
      </c>
      <c r="AP518" s="774"/>
      <c r="AQ518" s="774"/>
      <c r="AR518" s="779"/>
    </row>
    <row r="519" spans="3:44" ht="18" customHeight="1">
      <c r="C519" s="795"/>
      <c r="D519" s="777"/>
      <c r="E519" s="778"/>
      <c r="F519" s="776"/>
      <c r="G519" s="777"/>
      <c r="H519" s="777"/>
      <c r="I519" s="777"/>
      <c r="J519" s="777"/>
      <c r="K519" s="777"/>
      <c r="L519" s="777"/>
      <c r="M519" s="777"/>
      <c r="N519" s="777"/>
      <c r="O519" s="777"/>
      <c r="P519" s="777"/>
      <c r="Q519" s="777"/>
      <c r="R519" s="777"/>
      <c r="S519" s="777"/>
      <c r="T519" s="777"/>
      <c r="U519" s="778"/>
      <c r="V519" s="776"/>
      <c r="W519" s="777"/>
      <c r="X519" s="778"/>
      <c r="Y519" s="834" t="s">
        <v>72</v>
      </c>
      <c r="Z519" s="835"/>
      <c r="AA519" s="835"/>
      <c r="AB519" s="836"/>
      <c r="AC519" s="834" t="s">
        <v>73</v>
      </c>
      <c r="AD519" s="835"/>
      <c r="AE519" s="835"/>
      <c r="AF519" s="836"/>
      <c r="AG519" s="834" t="s">
        <v>72</v>
      </c>
      <c r="AH519" s="835"/>
      <c r="AI519" s="835"/>
      <c r="AJ519" s="836"/>
      <c r="AK519" s="834" t="s">
        <v>73</v>
      </c>
      <c r="AL519" s="835"/>
      <c r="AM519" s="835"/>
      <c r="AN519" s="836"/>
      <c r="AO519" s="776"/>
      <c r="AP519" s="777"/>
      <c r="AQ519" s="777"/>
      <c r="AR519" s="780"/>
    </row>
    <row r="520" spans="3:44" ht="18" customHeight="1">
      <c r="C520" s="781" t="s">
        <v>1379</v>
      </c>
      <c r="D520" s="782"/>
      <c r="E520" s="783"/>
      <c r="F520" s="493" t="s">
        <v>468</v>
      </c>
      <c r="G520" s="493"/>
      <c r="H520" s="493"/>
      <c r="I520" s="493"/>
      <c r="J520" s="493"/>
      <c r="K520" s="493"/>
      <c r="L520" s="493"/>
      <c r="M520" s="493"/>
      <c r="N520" s="493"/>
      <c r="O520" s="493"/>
      <c r="P520" s="493"/>
      <c r="Q520" s="493"/>
      <c r="R520" s="493"/>
      <c r="S520" s="493"/>
      <c r="T520" s="493"/>
      <c r="U520" s="493"/>
      <c r="V520" s="837">
        <v>1</v>
      </c>
      <c r="W520" s="838"/>
      <c r="X520" s="839"/>
      <c r="Y520" s="837">
        <v>1</v>
      </c>
      <c r="Z520" s="838"/>
      <c r="AA520" s="838"/>
      <c r="AB520" s="839"/>
      <c r="AC520" s="868">
        <f>1-Y520</f>
        <v>0</v>
      </c>
      <c r="AD520" s="869"/>
      <c r="AE520" s="869"/>
      <c r="AF520" s="870"/>
      <c r="AG520" s="491">
        <f>VLOOKUP(C520,[4]EQUIPAMENTOS!A$1:D$65536,3,FALSE)</f>
        <v>3.1082000000000001</v>
      </c>
      <c r="AH520" s="491"/>
      <c r="AI520" s="491"/>
      <c r="AJ520" s="491"/>
      <c r="AK520" s="491">
        <f>VLOOKUP(C520,[4]EQUIPAMENTOS!A$1:D$65536,4,FALSE)</f>
        <v>0</v>
      </c>
      <c r="AL520" s="491"/>
      <c r="AM520" s="491"/>
      <c r="AN520" s="491"/>
      <c r="AO520" s="491">
        <f>ROUND((Y520*AG520+AC520*AK520)*V520,2)</f>
        <v>3.11</v>
      </c>
      <c r="AP520" s="491"/>
      <c r="AQ520" s="491"/>
      <c r="AR520" s="492"/>
    </row>
    <row r="521" spans="3:44" ht="18" customHeight="1">
      <c r="C521" s="758"/>
      <c r="D521" s="759"/>
      <c r="E521" s="760"/>
      <c r="F521" s="493"/>
      <c r="G521" s="493"/>
      <c r="H521" s="493"/>
      <c r="I521" s="493"/>
      <c r="J521" s="493"/>
      <c r="K521" s="493"/>
      <c r="L521" s="493"/>
      <c r="M521" s="493"/>
      <c r="N521" s="493"/>
      <c r="O521" s="493"/>
      <c r="P521" s="493"/>
      <c r="Q521" s="493"/>
      <c r="R521" s="493"/>
      <c r="S521" s="493"/>
      <c r="T521" s="493"/>
      <c r="U521" s="493"/>
      <c r="V521" s="466"/>
      <c r="W521" s="467"/>
      <c r="X521" s="468"/>
      <c r="Y521" s="466"/>
      <c r="Z521" s="467"/>
      <c r="AA521" s="467"/>
      <c r="AB521" s="468"/>
      <c r="AC521" s="828"/>
      <c r="AD521" s="829"/>
      <c r="AE521" s="829"/>
      <c r="AF521" s="830"/>
      <c r="AG521" s="491"/>
      <c r="AH521" s="491"/>
      <c r="AI521" s="491"/>
      <c r="AJ521" s="491"/>
      <c r="AK521" s="491"/>
      <c r="AL521" s="491"/>
      <c r="AM521" s="491"/>
      <c r="AN521" s="491"/>
      <c r="AO521" s="491"/>
      <c r="AP521" s="491"/>
      <c r="AQ521" s="491"/>
      <c r="AR521" s="492"/>
    </row>
    <row r="522" spans="3:44" ht="18" customHeight="1">
      <c r="C522" s="758"/>
      <c r="D522" s="759"/>
      <c r="E522" s="760"/>
      <c r="F522" s="493"/>
      <c r="G522" s="493"/>
      <c r="H522" s="493"/>
      <c r="I522" s="493"/>
      <c r="J522" s="493"/>
      <c r="K522" s="493"/>
      <c r="L522" s="493"/>
      <c r="M522" s="493"/>
      <c r="N522" s="493"/>
      <c r="O522" s="493"/>
      <c r="P522" s="493"/>
      <c r="Q522" s="493"/>
      <c r="R522" s="493"/>
      <c r="S522" s="493"/>
      <c r="T522" s="493"/>
      <c r="U522" s="493"/>
      <c r="V522" s="466"/>
      <c r="W522" s="467"/>
      <c r="X522" s="468"/>
      <c r="Y522" s="466"/>
      <c r="Z522" s="467"/>
      <c r="AA522" s="467"/>
      <c r="AB522" s="468"/>
      <c r="AC522" s="828"/>
      <c r="AD522" s="829"/>
      <c r="AE522" s="829"/>
      <c r="AF522" s="830"/>
      <c r="AG522" s="491"/>
      <c r="AH522" s="491"/>
      <c r="AI522" s="491"/>
      <c r="AJ522" s="491"/>
      <c r="AK522" s="491"/>
      <c r="AL522" s="491"/>
      <c r="AM522" s="491"/>
      <c r="AN522" s="491"/>
      <c r="AO522" s="491"/>
      <c r="AP522" s="491"/>
      <c r="AQ522" s="491"/>
      <c r="AR522" s="492"/>
    </row>
    <row r="523" spans="3:44" ht="18" customHeight="1">
      <c r="C523" s="758"/>
      <c r="D523" s="759"/>
      <c r="E523" s="760"/>
      <c r="F523" s="493"/>
      <c r="G523" s="493"/>
      <c r="H523" s="493"/>
      <c r="I523" s="493"/>
      <c r="J523" s="493"/>
      <c r="K523" s="493"/>
      <c r="L523" s="493"/>
      <c r="M523" s="493"/>
      <c r="N523" s="493"/>
      <c r="O523" s="493"/>
      <c r="P523" s="493"/>
      <c r="Q523" s="493"/>
      <c r="R523" s="493"/>
      <c r="S523" s="493"/>
      <c r="T523" s="493"/>
      <c r="U523" s="493"/>
      <c r="V523" s="466"/>
      <c r="W523" s="467"/>
      <c r="X523" s="468"/>
      <c r="Y523" s="466"/>
      <c r="Z523" s="467"/>
      <c r="AA523" s="467"/>
      <c r="AB523" s="468"/>
      <c r="AC523" s="828"/>
      <c r="AD523" s="829"/>
      <c r="AE523" s="829"/>
      <c r="AF523" s="830"/>
      <c r="AG523" s="491"/>
      <c r="AH523" s="491"/>
      <c r="AI523" s="491"/>
      <c r="AJ523" s="491"/>
      <c r="AK523" s="491"/>
      <c r="AL523" s="491"/>
      <c r="AM523" s="491"/>
      <c r="AN523" s="491"/>
      <c r="AO523" s="491"/>
      <c r="AP523" s="491"/>
      <c r="AQ523" s="491"/>
      <c r="AR523" s="492"/>
    </row>
    <row r="524" spans="3:44" ht="18" customHeight="1">
      <c r="C524" s="758"/>
      <c r="D524" s="759"/>
      <c r="E524" s="760"/>
      <c r="F524" s="493"/>
      <c r="G524" s="493"/>
      <c r="H524" s="493"/>
      <c r="I524" s="493"/>
      <c r="J524" s="493"/>
      <c r="K524" s="493"/>
      <c r="L524" s="493"/>
      <c r="M524" s="493"/>
      <c r="N524" s="493"/>
      <c r="O524" s="493"/>
      <c r="P524" s="493"/>
      <c r="Q524" s="493"/>
      <c r="R524" s="493"/>
      <c r="S524" s="493"/>
      <c r="T524" s="493"/>
      <c r="U524" s="493"/>
      <c r="V524" s="466"/>
      <c r="W524" s="467"/>
      <c r="X524" s="468"/>
      <c r="Y524" s="466"/>
      <c r="Z524" s="467"/>
      <c r="AA524" s="467"/>
      <c r="AB524" s="468"/>
      <c r="AC524" s="828"/>
      <c r="AD524" s="829"/>
      <c r="AE524" s="829"/>
      <c r="AF524" s="830"/>
      <c r="AG524" s="491"/>
      <c r="AH524" s="491"/>
      <c r="AI524" s="491"/>
      <c r="AJ524" s="491"/>
      <c r="AK524" s="491"/>
      <c r="AL524" s="491"/>
      <c r="AM524" s="491"/>
      <c r="AN524" s="491"/>
      <c r="AO524" s="491"/>
      <c r="AP524" s="491"/>
      <c r="AQ524" s="491"/>
      <c r="AR524" s="492"/>
    </row>
    <row r="525" spans="3:44" ht="18" customHeight="1">
      <c r="C525" s="758"/>
      <c r="D525" s="759"/>
      <c r="E525" s="760"/>
      <c r="F525" s="493"/>
      <c r="G525" s="493"/>
      <c r="H525" s="493"/>
      <c r="I525" s="493"/>
      <c r="J525" s="493"/>
      <c r="K525" s="493"/>
      <c r="L525" s="493"/>
      <c r="M525" s="493"/>
      <c r="N525" s="493"/>
      <c r="O525" s="493"/>
      <c r="P525" s="493"/>
      <c r="Q525" s="493"/>
      <c r="R525" s="493"/>
      <c r="S525" s="493"/>
      <c r="T525" s="493"/>
      <c r="U525" s="493"/>
      <c r="V525" s="466"/>
      <c r="W525" s="467"/>
      <c r="X525" s="468"/>
      <c r="Y525" s="466"/>
      <c r="Z525" s="467"/>
      <c r="AA525" s="467"/>
      <c r="AB525" s="468"/>
      <c r="AC525" s="828"/>
      <c r="AD525" s="829"/>
      <c r="AE525" s="829"/>
      <c r="AF525" s="830"/>
      <c r="AG525" s="491"/>
      <c r="AH525" s="491"/>
      <c r="AI525" s="491"/>
      <c r="AJ525" s="491"/>
      <c r="AK525" s="491"/>
      <c r="AL525" s="491"/>
      <c r="AM525" s="491"/>
      <c r="AN525" s="491"/>
      <c r="AO525" s="491"/>
      <c r="AP525" s="491"/>
      <c r="AQ525" s="491"/>
      <c r="AR525" s="492"/>
    </row>
    <row r="526" spans="3:44" ht="18" customHeight="1">
      <c r="C526" s="758"/>
      <c r="D526" s="759"/>
      <c r="E526" s="760"/>
      <c r="F526" s="796"/>
      <c r="G526" s="797"/>
      <c r="H526" s="797"/>
      <c r="I526" s="797"/>
      <c r="J526" s="797"/>
      <c r="K526" s="797"/>
      <c r="L526" s="797"/>
      <c r="M526" s="797"/>
      <c r="N526" s="797"/>
      <c r="O526" s="797"/>
      <c r="P526" s="797"/>
      <c r="Q526" s="797"/>
      <c r="R526" s="797"/>
      <c r="S526" s="797"/>
      <c r="T526" s="797"/>
      <c r="U526" s="798"/>
      <c r="V526" s="466"/>
      <c r="W526" s="467"/>
      <c r="X526" s="468"/>
      <c r="Y526" s="466"/>
      <c r="Z526" s="467"/>
      <c r="AA526" s="467"/>
      <c r="AB526" s="468"/>
      <c r="AC526" s="828"/>
      <c r="AD526" s="829"/>
      <c r="AE526" s="829"/>
      <c r="AF526" s="830"/>
      <c r="AG526" s="466"/>
      <c r="AH526" s="467"/>
      <c r="AI526" s="467"/>
      <c r="AJ526" s="468"/>
      <c r="AK526" s="466"/>
      <c r="AL526" s="467"/>
      <c r="AM526" s="467"/>
      <c r="AN526" s="468"/>
      <c r="AO526" s="466"/>
      <c r="AP526" s="467"/>
      <c r="AQ526" s="467"/>
      <c r="AR526" s="823"/>
    </row>
    <row r="527" spans="3:44" ht="18" customHeight="1">
      <c r="C527" s="758"/>
      <c r="D527" s="759"/>
      <c r="E527" s="760"/>
      <c r="F527" s="796"/>
      <c r="G527" s="797"/>
      <c r="H527" s="797"/>
      <c r="I527" s="797"/>
      <c r="J527" s="797"/>
      <c r="K527" s="797"/>
      <c r="L527" s="797"/>
      <c r="M527" s="797"/>
      <c r="N527" s="797"/>
      <c r="O527" s="797"/>
      <c r="P527" s="797"/>
      <c r="Q527" s="797"/>
      <c r="R527" s="797"/>
      <c r="S527" s="797"/>
      <c r="T527" s="797"/>
      <c r="U527" s="798"/>
      <c r="V527" s="466"/>
      <c r="W527" s="467"/>
      <c r="X527" s="468"/>
      <c r="Y527" s="466"/>
      <c r="Z527" s="467"/>
      <c r="AA527" s="467"/>
      <c r="AB527" s="468"/>
      <c r="AC527" s="828"/>
      <c r="AD527" s="829"/>
      <c r="AE527" s="829"/>
      <c r="AF527" s="830"/>
      <c r="AG527" s="466"/>
      <c r="AH527" s="467"/>
      <c r="AI527" s="467"/>
      <c r="AJ527" s="468"/>
      <c r="AK527" s="466"/>
      <c r="AL527" s="467"/>
      <c r="AM527" s="467"/>
      <c r="AN527" s="468"/>
      <c r="AO527" s="466"/>
      <c r="AP527" s="467"/>
      <c r="AQ527" s="467"/>
      <c r="AR527" s="823"/>
    </row>
    <row r="528" spans="3:44" ht="18" customHeight="1">
      <c r="C528" s="743"/>
      <c r="D528" s="744"/>
      <c r="E528" s="744"/>
      <c r="F528" s="744"/>
      <c r="G528" s="744"/>
      <c r="H528" s="744"/>
      <c r="I528" s="744"/>
      <c r="J528" s="744"/>
      <c r="K528" s="744"/>
      <c r="L528" s="744"/>
      <c r="M528" s="744"/>
      <c r="N528" s="744"/>
      <c r="O528" s="744"/>
      <c r="P528" s="744"/>
      <c r="Q528" s="744"/>
      <c r="R528" s="744"/>
      <c r="S528" s="744"/>
      <c r="T528" s="744"/>
      <c r="U528" s="744"/>
      <c r="V528" s="744"/>
      <c r="W528" s="744"/>
      <c r="X528" s="824"/>
      <c r="Y528" s="825" t="s">
        <v>74</v>
      </c>
      <c r="Z528" s="826"/>
      <c r="AA528" s="826"/>
      <c r="AB528" s="826"/>
      <c r="AC528" s="826"/>
      <c r="AD528" s="826"/>
      <c r="AE528" s="826"/>
      <c r="AF528" s="826"/>
      <c r="AG528" s="826"/>
      <c r="AH528" s="826"/>
      <c r="AI528" s="826"/>
      <c r="AJ528" s="826"/>
      <c r="AK528" s="826"/>
      <c r="AL528" s="826"/>
      <c r="AM528" s="826"/>
      <c r="AN528" s="827"/>
      <c r="AO528" s="477">
        <f>SUM(AO520:AR527)</f>
        <v>3.11</v>
      </c>
      <c r="AP528" s="746"/>
      <c r="AQ528" s="746"/>
      <c r="AR528" s="747"/>
    </row>
    <row r="530" spans="3:44" ht="18" customHeight="1">
      <c r="C530" s="794" t="s">
        <v>43</v>
      </c>
      <c r="D530" s="774"/>
      <c r="E530" s="775"/>
      <c r="F530" s="773" t="s">
        <v>75</v>
      </c>
      <c r="G530" s="774"/>
      <c r="H530" s="774"/>
      <c r="I530" s="774"/>
      <c r="J530" s="774"/>
      <c r="K530" s="774"/>
      <c r="L530" s="774"/>
      <c r="M530" s="774"/>
      <c r="N530" s="774"/>
      <c r="O530" s="774"/>
      <c r="P530" s="774"/>
      <c r="Q530" s="774"/>
      <c r="R530" s="774"/>
      <c r="S530" s="774"/>
      <c r="T530" s="774"/>
      <c r="U530" s="774"/>
      <c r="V530" s="774"/>
      <c r="W530" s="774"/>
      <c r="X530" s="774"/>
      <c r="Y530" s="774"/>
      <c r="Z530" s="774"/>
      <c r="AA530" s="774"/>
      <c r="AB530" s="775"/>
      <c r="AC530" s="773" t="s">
        <v>76</v>
      </c>
      <c r="AD530" s="774"/>
      <c r="AE530" s="774"/>
      <c r="AF530" s="775"/>
      <c r="AG530" s="773" t="s">
        <v>249</v>
      </c>
      <c r="AH530" s="774"/>
      <c r="AI530" s="774"/>
      <c r="AJ530" s="775"/>
      <c r="AK530" s="773" t="s">
        <v>77</v>
      </c>
      <c r="AL530" s="774"/>
      <c r="AM530" s="774"/>
      <c r="AN530" s="775"/>
      <c r="AO530" s="773" t="s">
        <v>71</v>
      </c>
      <c r="AP530" s="774"/>
      <c r="AQ530" s="774"/>
      <c r="AR530" s="779"/>
    </row>
    <row r="531" spans="3:44" ht="18" customHeight="1">
      <c r="C531" s="795"/>
      <c r="D531" s="777"/>
      <c r="E531" s="778"/>
      <c r="F531" s="776"/>
      <c r="G531" s="777"/>
      <c r="H531" s="777"/>
      <c r="I531" s="777"/>
      <c r="J531" s="777"/>
      <c r="K531" s="777"/>
      <c r="L531" s="777"/>
      <c r="M531" s="777"/>
      <c r="N531" s="777"/>
      <c r="O531" s="777"/>
      <c r="P531" s="777"/>
      <c r="Q531" s="777"/>
      <c r="R531" s="777"/>
      <c r="S531" s="777"/>
      <c r="T531" s="777"/>
      <c r="U531" s="777"/>
      <c r="V531" s="777"/>
      <c r="W531" s="777"/>
      <c r="X531" s="777"/>
      <c r="Y531" s="777"/>
      <c r="Z531" s="777"/>
      <c r="AA531" s="777"/>
      <c r="AB531" s="778"/>
      <c r="AC531" s="776"/>
      <c r="AD531" s="777"/>
      <c r="AE531" s="777"/>
      <c r="AF531" s="778"/>
      <c r="AG531" s="776"/>
      <c r="AH531" s="777"/>
      <c r="AI531" s="777"/>
      <c r="AJ531" s="778"/>
      <c r="AK531" s="776"/>
      <c r="AL531" s="777"/>
      <c r="AM531" s="777"/>
      <c r="AN531" s="778"/>
      <c r="AO531" s="776"/>
      <c r="AP531" s="777"/>
      <c r="AQ531" s="777"/>
      <c r="AR531" s="780"/>
    </row>
    <row r="532" spans="3:44" ht="18" customHeight="1">
      <c r="C532" s="781" t="s">
        <v>940</v>
      </c>
      <c r="D532" s="782"/>
      <c r="E532" s="783"/>
      <c r="F532" s="493" t="s">
        <v>105</v>
      </c>
      <c r="G532" s="493"/>
      <c r="H532" s="493"/>
      <c r="I532" s="493"/>
      <c r="J532" s="493"/>
      <c r="K532" s="493"/>
      <c r="L532" s="493"/>
      <c r="M532" s="493"/>
      <c r="N532" s="493"/>
      <c r="O532" s="493"/>
      <c r="P532" s="493"/>
      <c r="Q532" s="493"/>
      <c r="R532" s="493"/>
      <c r="S532" s="493"/>
      <c r="T532" s="493"/>
      <c r="U532" s="493"/>
      <c r="V532" s="493"/>
      <c r="W532" s="493"/>
      <c r="X532" s="493"/>
      <c r="Y532" s="493"/>
      <c r="Z532" s="493"/>
      <c r="AA532" s="493"/>
      <c r="AB532" s="493"/>
      <c r="AC532" s="770"/>
      <c r="AD532" s="771"/>
      <c r="AE532" s="771"/>
      <c r="AF532" s="790"/>
      <c r="AG532" s="770">
        <v>1</v>
      </c>
      <c r="AH532" s="771"/>
      <c r="AI532" s="771"/>
      <c r="AJ532" s="790"/>
      <c r="AK532" s="449">
        <f>VLOOKUP(C532,[4]MÃODEOBRA!A$1:D$65536,4,FALSE)</f>
        <v>22.98488</v>
      </c>
      <c r="AL532" s="449"/>
      <c r="AM532" s="449"/>
      <c r="AN532" s="449"/>
      <c r="AO532" s="491">
        <f>ROUND(AG532*AK532,2)</f>
        <v>22.98</v>
      </c>
      <c r="AP532" s="491"/>
      <c r="AQ532" s="491"/>
      <c r="AR532" s="492"/>
    </row>
    <row r="533" spans="3:44" ht="18" customHeight="1">
      <c r="C533" s="758" t="s">
        <v>1380</v>
      </c>
      <c r="D533" s="759"/>
      <c r="E533" s="760"/>
      <c r="F533" s="493" t="s">
        <v>469</v>
      </c>
      <c r="G533" s="493"/>
      <c r="H533" s="493"/>
      <c r="I533" s="493"/>
      <c r="J533" s="493"/>
      <c r="K533" s="493"/>
      <c r="L533" s="493"/>
      <c r="M533" s="493"/>
      <c r="N533" s="493"/>
      <c r="O533" s="493"/>
      <c r="P533" s="493"/>
      <c r="Q533" s="493"/>
      <c r="R533" s="493"/>
      <c r="S533" s="493"/>
      <c r="T533" s="493"/>
      <c r="U533" s="493"/>
      <c r="V533" s="493"/>
      <c r="W533" s="493"/>
      <c r="X533" s="493"/>
      <c r="Y533" s="493"/>
      <c r="Z533" s="493"/>
      <c r="AA533" s="493"/>
      <c r="AB533" s="493"/>
      <c r="AC533" s="740"/>
      <c r="AD533" s="741"/>
      <c r="AE533" s="741"/>
      <c r="AF533" s="757"/>
      <c r="AG533" s="740">
        <v>1</v>
      </c>
      <c r="AH533" s="741"/>
      <c r="AI533" s="741"/>
      <c r="AJ533" s="757"/>
      <c r="AK533" s="449">
        <f>VLOOKUP(C533,[4]MÃODEOBRA!A$1:D$65536,4,FALSE)</f>
        <v>11.156079999999999</v>
      </c>
      <c r="AL533" s="449"/>
      <c r="AM533" s="449"/>
      <c r="AN533" s="449"/>
      <c r="AO533" s="491">
        <f>ROUND(AG533*AK533,2)</f>
        <v>11.16</v>
      </c>
      <c r="AP533" s="491"/>
      <c r="AQ533" s="491"/>
      <c r="AR533" s="492"/>
    </row>
    <row r="534" spans="3:44" ht="18" customHeight="1">
      <c r="C534" s="758" t="s">
        <v>943</v>
      </c>
      <c r="D534" s="759"/>
      <c r="E534" s="760"/>
      <c r="F534" s="796" t="s">
        <v>128</v>
      </c>
      <c r="G534" s="797"/>
      <c r="H534" s="797"/>
      <c r="I534" s="797"/>
      <c r="J534" s="797"/>
      <c r="K534" s="797"/>
      <c r="L534" s="797"/>
      <c r="M534" s="797"/>
      <c r="N534" s="797"/>
      <c r="O534" s="797"/>
      <c r="P534" s="797"/>
      <c r="Q534" s="797"/>
      <c r="R534" s="797"/>
      <c r="S534" s="797"/>
      <c r="T534" s="797"/>
      <c r="U534" s="797"/>
      <c r="V534" s="797"/>
      <c r="W534" s="797"/>
      <c r="X534" s="797"/>
      <c r="Y534" s="797"/>
      <c r="Z534" s="797"/>
      <c r="AA534" s="797"/>
      <c r="AB534" s="798"/>
      <c r="AC534" s="740"/>
      <c r="AD534" s="741"/>
      <c r="AE534" s="741"/>
      <c r="AF534" s="757"/>
      <c r="AG534" s="740">
        <v>2</v>
      </c>
      <c r="AH534" s="741"/>
      <c r="AI534" s="741"/>
      <c r="AJ534" s="757"/>
      <c r="AK534" s="449">
        <f>VLOOKUP(C534,[4]MÃODEOBRA!A$1:D$65536,4,FALSE)</f>
        <v>8.6333500000000001</v>
      </c>
      <c r="AL534" s="449"/>
      <c r="AM534" s="449"/>
      <c r="AN534" s="449"/>
      <c r="AO534" s="491">
        <f>ROUND(AG534*AK534,2)</f>
        <v>17.27</v>
      </c>
      <c r="AP534" s="491"/>
      <c r="AQ534" s="491"/>
      <c r="AR534" s="492"/>
    </row>
    <row r="535" spans="3:44" ht="18" customHeight="1">
      <c r="C535" s="758"/>
      <c r="D535" s="759"/>
      <c r="E535" s="760"/>
      <c r="F535" s="796"/>
      <c r="G535" s="797"/>
      <c r="H535" s="797"/>
      <c r="I535" s="797"/>
      <c r="J535" s="797"/>
      <c r="K535" s="797"/>
      <c r="L535" s="797"/>
      <c r="M535" s="797"/>
      <c r="N535" s="797"/>
      <c r="O535" s="797"/>
      <c r="P535" s="797"/>
      <c r="Q535" s="797"/>
      <c r="R535" s="797"/>
      <c r="S535" s="797"/>
      <c r="T535" s="797"/>
      <c r="U535" s="797"/>
      <c r="V535" s="797"/>
      <c r="W535" s="797"/>
      <c r="X535" s="797"/>
      <c r="Y535" s="797"/>
      <c r="Z535" s="797"/>
      <c r="AA535" s="797"/>
      <c r="AB535" s="798"/>
      <c r="AC535" s="740"/>
      <c r="AD535" s="741"/>
      <c r="AE535" s="741"/>
      <c r="AF535" s="757"/>
      <c r="AG535" s="740"/>
      <c r="AH535" s="741"/>
      <c r="AI535" s="741"/>
      <c r="AJ535" s="757"/>
      <c r="AK535" s="740"/>
      <c r="AL535" s="741"/>
      <c r="AM535" s="741"/>
      <c r="AN535" s="757"/>
      <c r="AO535" s="466"/>
      <c r="AP535" s="467"/>
      <c r="AQ535" s="467"/>
      <c r="AR535" s="823"/>
    </row>
    <row r="536" spans="3:44" ht="18" customHeight="1">
      <c r="C536" s="758"/>
      <c r="D536" s="759"/>
      <c r="E536" s="760"/>
      <c r="F536" s="796"/>
      <c r="G536" s="797"/>
      <c r="H536" s="797"/>
      <c r="I536" s="797"/>
      <c r="J536" s="797"/>
      <c r="K536" s="797"/>
      <c r="L536" s="797"/>
      <c r="M536" s="797"/>
      <c r="N536" s="797"/>
      <c r="O536" s="797"/>
      <c r="P536" s="797"/>
      <c r="Q536" s="797"/>
      <c r="R536" s="797"/>
      <c r="S536" s="797"/>
      <c r="T536" s="797"/>
      <c r="U536" s="797"/>
      <c r="V536" s="797"/>
      <c r="W536" s="797"/>
      <c r="X536" s="797"/>
      <c r="Y536" s="797"/>
      <c r="Z536" s="797"/>
      <c r="AA536" s="797"/>
      <c r="AB536" s="798"/>
      <c r="AC536" s="740"/>
      <c r="AD536" s="741"/>
      <c r="AE536" s="741"/>
      <c r="AF536" s="757"/>
      <c r="AG536" s="740"/>
      <c r="AH536" s="741"/>
      <c r="AI536" s="741"/>
      <c r="AJ536" s="757"/>
      <c r="AK536" s="740"/>
      <c r="AL536" s="741"/>
      <c r="AM536" s="741"/>
      <c r="AN536" s="757"/>
      <c r="AO536" s="466"/>
      <c r="AP536" s="467"/>
      <c r="AQ536" s="467"/>
      <c r="AR536" s="823"/>
    </row>
    <row r="537" spans="3:44" ht="18" customHeight="1">
      <c r="C537" s="758"/>
      <c r="D537" s="759"/>
      <c r="E537" s="760"/>
      <c r="F537" s="796"/>
      <c r="G537" s="797"/>
      <c r="H537" s="797"/>
      <c r="I537" s="797"/>
      <c r="J537" s="797"/>
      <c r="K537" s="797"/>
      <c r="L537" s="797"/>
      <c r="M537" s="797"/>
      <c r="N537" s="797"/>
      <c r="O537" s="797"/>
      <c r="P537" s="797"/>
      <c r="Q537" s="797"/>
      <c r="R537" s="797"/>
      <c r="S537" s="797"/>
      <c r="T537" s="797"/>
      <c r="U537" s="797"/>
      <c r="V537" s="797"/>
      <c r="W537" s="797"/>
      <c r="X537" s="797"/>
      <c r="Y537" s="797"/>
      <c r="Z537" s="797"/>
      <c r="AA537" s="797"/>
      <c r="AB537" s="798"/>
      <c r="AC537" s="740"/>
      <c r="AD537" s="741"/>
      <c r="AE537" s="741"/>
      <c r="AF537" s="757"/>
      <c r="AG537" s="740"/>
      <c r="AH537" s="741"/>
      <c r="AI537" s="741"/>
      <c r="AJ537" s="757"/>
      <c r="AK537" s="740"/>
      <c r="AL537" s="741"/>
      <c r="AM537" s="741"/>
      <c r="AN537" s="757"/>
      <c r="AO537" s="466"/>
      <c r="AP537" s="467"/>
      <c r="AQ537" s="467"/>
      <c r="AR537" s="823"/>
    </row>
    <row r="538" spans="3:44" ht="18" customHeight="1">
      <c r="C538" s="758"/>
      <c r="D538" s="759"/>
      <c r="E538" s="760"/>
      <c r="F538" s="796"/>
      <c r="G538" s="797"/>
      <c r="H538" s="797"/>
      <c r="I538" s="797"/>
      <c r="J538" s="797"/>
      <c r="K538" s="797"/>
      <c r="L538" s="797"/>
      <c r="M538" s="797"/>
      <c r="N538" s="797"/>
      <c r="O538" s="797"/>
      <c r="P538" s="797"/>
      <c r="Q538" s="797"/>
      <c r="R538" s="797"/>
      <c r="S538" s="797"/>
      <c r="T538" s="797"/>
      <c r="U538" s="797"/>
      <c r="V538" s="797"/>
      <c r="W538" s="797"/>
      <c r="X538" s="797"/>
      <c r="Y538" s="797"/>
      <c r="Z538" s="797"/>
      <c r="AA538" s="797"/>
      <c r="AB538" s="798"/>
      <c r="AC538" s="740"/>
      <c r="AD538" s="741"/>
      <c r="AE538" s="741"/>
      <c r="AF538" s="757"/>
      <c r="AG538" s="740"/>
      <c r="AH538" s="741"/>
      <c r="AI538" s="741"/>
      <c r="AJ538" s="757"/>
      <c r="AK538" s="740"/>
      <c r="AL538" s="741"/>
      <c r="AM538" s="741"/>
      <c r="AN538" s="757"/>
      <c r="AO538" s="466"/>
      <c r="AP538" s="467"/>
      <c r="AQ538" s="467"/>
      <c r="AR538" s="823"/>
    </row>
    <row r="539" spans="3:44" ht="18" customHeight="1">
      <c r="C539" s="758"/>
      <c r="D539" s="759"/>
      <c r="E539" s="760"/>
      <c r="F539" s="796"/>
      <c r="G539" s="797"/>
      <c r="H539" s="797"/>
      <c r="I539" s="797"/>
      <c r="J539" s="797"/>
      <c r="K539" s="797"/>
      <c r="L539" s="797"/>
      <c r="M539" s="797"/>
      <c r="N539" s="797"/>
      <c r="O539" s="797"/>
      <c r="P539" s="797"/>
      <c r="Q539" s="797"/>
      <c r="R539" s="797"/>
      <c r="S539" s="797"/>
      <c r="T539" s="797"/>
      <c r="U539" s="797"/>
      <c r="V539" s="797"/>
      <c r="W539" s="797"/>
      <c r="X539" s="797"/>
      <c r="Y539" s="797"/>
      <c r="Z539" s="797"/>
      <c r="AA539" s="797"/>
      <c r="AB539" s="798"/>
      <c r="AC539" s="740"/>
      <c r="AD539" s="741"/>
      <c r="AE539" s="741"/>
      <c r="AF539" s="757"/>
      <c r="AG539" s="740"/>
      <c r="AH539" s="741"/>
      <c r="AI539" s="741"/>
      <c r="AJ539" s="757"/>
      <c r="AK539" s="740"/>
      <c r="AL539" s="741"/>
      <c r="AM539" s="741"/>
      <c r="AN539" s="757"/>
      <c r="AO539" s="466"/>
      <c r="AP539" s="467"/>
      <c r="AQ539" s="467"/>
      <c r="AR539" s="823"/>
    </row>
    <row r="540" spans="3:44" ht="18" customHeight="1">
      <c r="C540" s="814"/>
      <c r="D540" s="815"/>
      <c r="E540" s="815"/>
      <c r="F540" s="815"/>
      <c r="G540" s="815"/>
      <c r="H540" s="815"/>
      <c r="I540" s="815"/>
      <c r="J540" s="815"/>
      <c r="K540" s="815"/>
      <c r="L540" s="815"/>
      <c r="M540" s="815"/>
      <c r="N540" s="815"/>
      <c r="O540" s="815"/>
      <c r="P540" s="815"/>
      <c r="Q540" s="815"/>
      <c r="R540" s="815"/>
      <c r="S540" s="815"/>
      <c r="T540" s="815"/>
      <c r="U540" s="815"/>
      <c r="V540" s="815"/>
      <c r="W540" s="815"/>
      <c r="X540" s="815"/>
      <c r="Y540" s="816" t="s">
        <v>78</v>
      </c>
      <c r="Z540" s="816"/>
      <c r="AA540" s="816"/>
      <c r="AB540" s="816"/>
      <c r="AC540" s="816"/>
      <c r="AD540" s="816"/>
      <c r="AE540" s="816"/>
      <c r="AF540" s="483"/>
      <c r="AG540" s="817" t="s">
        <v>267</v>
      </c>
      <c r="AH540" s="818"/>
      <c r="AI540" s="818"/>
      <c r="AJ540" s="819"/>
      <c r="AK540" s="466">
        <f>SUM(AO532:AR539)</f>
        <v>51.41</v>
      </c>
      <c r="AL540" s="467"/>
      <c r="AM540" s="467"/>
      <c r="AN540" s="468"/>
      <c r="AO540" s="820">
        <f>ROUND(AG540*AK540,2)</f>
        <v>10.54</v>
      </c>
      <c r="AP540" s="821"/>
      <c r="AQ540" s="821"/>
      <c r="AR540" s="822"/>
    </row>
    <row r="541" spans="3:44" ht="18" customHeight="1">
      <c r="C541" s="743"/>
      <c r="D541" s="744"/>
      <c r="E541" s="744"/>
      <c r="F541" s="744"/>
      <c r="G541" s="744"/>
      <c r="H541" s="744"/>
      <c r="I541" s="744"/>
      <c r="J541" s="744"/>
      <c r="K541" s="744"/>
      <c r="L541" s="744"/>
      <c r="M541" s="744"/>
      <c r="N541" s="744"/>
      <c r="O541" s="744"/>
      <c r="P541" s="744"/>
      <c r="Q541" s="744"/>
      <c r="R541" s="744"/>
      <c r="S541" s="744"/>
      <c r="T541" s="744"/>
      <c r="U541" s="744"/>
      <c r="V541" s="744"/>
      <c r="W541" s="744"/>
      <c r="X541" s="744"/>
      <c r="Y541" s="745" t="s">
        <v>79</v>
      </c>
      <c r="Z541" s="745"/>
      <c r="AA541" s="745"/>
      <c r="AB541" s="745"/>
      <c r="AC541" s="745"/>
      <c r="AD541" s="745"/>
      <c r="AE541" s="745"/>
      <c r="AF541" s="745"/>
      <c r="AG541" s="745"/>
      <c r="AH541" s="745"/>
      <c r="AI541" s="745"/>
      <c r="AJ541" s="745"/>
      <c r="AK541" s="745"/>
      <c r="AL541" s="745"/>
      <c r="AM541" s="745"/>
      <c r="AN541" s="430"/>
      <c r="AO541" s="477">
        <f>SUM(AO532:AR540)</f>
        <v>61.949999999999996</v>
      </c>
      <c r="AP541" s="746"/>
      <c r="AQ541" s="746"/>
      <c r="AR541" s="747"/>
    </row>
    <row r="543" spans="3:44" ht="18" customHeight="1">
      <c r="C543" s="802"/>
      <c r="D543" s="803"/>
      <c r="E543" s="803"/>
      <c r="F543" s="803"/>
      <c r="G543" s="803"/>
      <c r="H543" s="803"/>
      <c r="I543" s="803"/>
      <c r="J543" s="803"/>
      <c r="K543" s="803"/>
      <c r="L543" s="803"/>
      <c r="M543" s="803"/>
      <c r="N543" s="803"/>
      <c r="O543" s="803"/>
      <c r="P543" s="803"/>
      <c r="Q543" s="803"/>
      <c r="R543" s="803"/>
      <c r="S543" s="803"/>
      <c r="T543" s="803"/>
      <c r="U543" s="803"/>
      <c r="V543" s="803"/>
      <c r="W543" s="803"/>
      <c r="X543" s="803"/>
      <c r="Y543" s="804" t="s">
        <v>80</v>
      </c>
      <c r="Z543" s="805"/>
      <c r="AA543" s="805"/>
      <c r="AB543" s="805"/>
      <c r="AC543" s="805"/>
      <c r="AD543" s="805"/>
      <c r="AE543" s="805"/>
      <c r="AF543" s="805"/>
      <c r="AG543" s="805"/>
      <c r="AH543" s="805"/>
      <c r="AI543" s="805"/>
      <c r="AJ543" s="805"/>
      <c r="AK543" s="805"/>
      <c r="AL543" s="805"/>
      <c r="AM543" s="805"/>
      <c r="AN543" s="806"/>
      <c r="AO543" s="807">
        <f>AO528+AO541</f>
        <v>65.06</v>
      </c>
      <c r="AP543" s="808"/>
      <c r="AQ543" s="808"/>
      <c r="AR543" s="809"/>
    </row>
    <row r="544" spans="3:44" ht="18" customHeight="1">
      <c r="C544" s="810" t="s">
        <v>81</v>
      </c>
      <c r="D544" s="745"/>
      <c r="E544" s="745"/>
      <c r="F544" s="745"/>
      <c r="G544" s="745"/>
      <c r="H544" s="745"/>
      <c r="I544" s="745"/>
      <c r="J544" s="745"/>
      <c r="K544" s="745"/>
      <c r="L544" s="745"/>
      <c r="M544" s="745"/>
      <c r="N544" s="745"/>
      <c r="O544" s="745"/>
      <c r="P544" s="430"/>
      <c r="Q544" s="477">
        <v>10</v>
      </c>
      <c r="R544" s="746"/>
      <c r="S544" s="746"/>
      <c r="T544" s="746"/>
      <c r="U544" s="746"/>
      <c r="V544" s="745" t="s">
        <v>246</v>
      </c>
      <c r="W544" s="745"/>
      <c r="X544" s="430"/>
      <c r="Y544" s="804" t="s">
        <v>82</v>
      </c>
      <c r="Z544" s="805"/>
      <c r="AA544" s="805"/>
      <c r="AB544" s="805"/>
      <c r="AC544" s="805"/>
      <c r="AD544" s="805"/>
      <c r="AE544" s="805"/>
      <c r="AF544" s="805"/>
      <c r="AG544" s="805"/>
      <c r="AH544" s="805"/>
      <c r="AI544" s="805"/>
      <c r="AJ544" s="805"/>
      <c r="AK544" s="805"/>
      <c r="AL544" s="805"/>
      <c r="AM544" s="805"/>
      <c r="AN544" s="806"/>
      <c r="AO544" s="811">
        <f>ROUND(AO543/Q544,2)</f>
        <v>6.51</v>
      </c>
      <c r="AP544" s="812"/>
      <c r="AQ544" s="812"/>
      <c r="AR544" s="813"/>
    </row>
    <row r="546" spans="3:44" ht="18" customHeight="1">
      <c r="C546" s="794" t="s">
        <v>43</v>
      </c>
      <c r="D546" s="774"/>
      <c r="E546" s="775"/>
      <c r="F546" s="773" t="s">
        <v>83</v>
      </c>
      <c r="G546" s="774"/>
      <c r="H546" s="774"/>
      <c r="I546" s="774"/>
      <c r="J546" s="774"/>
      <c r="K546" s="774"/>
      <c r="L546" s="774"/>
      <c r="M546" s="774"/>
      <c r="N546" s="774"/>
      <c r="O546" s="774"/>
      <c r="P546" s="774"/>
      <c r="Q546" s="774"/>
      <c r="R546" s="774"/>
      <c r="S546" s="774"/>
      <c r="T546" s="774"/>
      <c r="U546" s="774"/>
      <c r="V546" s="774"/>
      <c r="W546" s="774"/>
      <c r="X546" s="774"/>
      <c r="Y546" s="774"/>
      <c r="Z546" s="774"/>
      <c r="AA546" s="774"/>
      <c r="AB546" s="775"/>
      <c r="AC546" s="773" t="s">
        <v>84</v>
      </c>
      <c r="AD546" s="774"/>
      <c r="AE546" s="774"/>
      <c r="AF546" s="775"/>
      <c r="AG546" s="773" t="s">
        <v>85</v>
      </c>
      <c r="AH546" s="774"/>
      <c r="AI546" s="774"/>
      <c r="AJ546" s="775"/>
      <c r="AK546" s="773" t="s">
        <v>86</v>
      </c>
      <c r="AL546" s="774"/>
      <c r="AM546" s="774"/>
      <c r="AN546" s="775"/>
      <c r="AO546" s="773" t="s">
        <v>87</v>
      </c>
      <c r="AP546" s="774"/>
      <c r="AQ546" s="774"/>
      <c r="AR546" s="779"/>
    </row>
    <row r="547" spans="3:44" ht="18" customHeight="1">
      <c r="C547" s="795"/>
      <c r="D547" s="777"/>
      <c r="E547" s="778"/>
      <c r="F547" s="776"/>
      <c r="G547" s="777"/>
      <c r="H547" s="777"/>
      <c r="I547" s="777"/>
      <c r="J547" s="777"/>
      <c r="K547" s="777"/>
      <c r="L547" s="777"/>
      <c r="M547" s="777"/>
      <c r="N547" s="777"/>
      <c r="O547" s="777"/>
      <c r="P547" s="777"/>
      <c r="Q547" s="777"/>
      <c r="R547" s="777"/>
      <c r="S547" s="777"/>
      <c r="T547" s="777"/>
      <c r="U547" s="777"/>
      <c r="V547" s="777"/>
      <c r="W547" s="777"/>
      <c r="X547" s="777"/>
      <c r="Y547" s="777"/>
      <c r="Z547" s="777"/>
      <c r="AA547" s="777"/>
      <c r="AB547" s="778"/>
      <c r="AC547" s="776"/>
      <c r="AD547" s="777"/>
      <c r="AE547" s="777"/>
      <c r="AF547" s="778"/>
      <c r="AG547" s="776"/>
      <c r="AH547" s="777"/>
      <c r="AI547" s="777"/>
      <c r="AJ547" s="778"/>
      <c r="AK547" s="776"/>
      <c r="AL547" s="777"/>
      <c r="AM547" s="777"/>
      <c r="AN547" s="778"/>
      <c r="AO547" s="776"/>
      <c r="AP547" s="777"/>
      <c r="AQ547" s="777"/>
      <c r="AR547" s="780"/>
    </row>
    <row r="548" spans="3:44" ht="18" customHeight="1">
      <c r="C548" s="781" t="s">
        <v>239</v>
      </c>
      <c r="D548" s="782"/>
      <c r="E548" s="783"/>
      <c r="F548" s="493" t="s">
        <v>663</v>
      </c>
      <c r="G548" s="493"/>
      <c r="H548" s="493"/>
      <c r="I548" s="493"/>
      <c r="J548" s="493"/>
      <c r="K548" s="493"/>
      <c r="L548" s="493"/>
      <c r="M548" s="493"/>
      <c r="N548" s="493"/>
      <c r="O548" s="493"/>
      <c r="P548" s="493"/>
      <c r="Q548" s="493"/>
      <c r="R548" s="493"/>
      <c r="S548" s="493"/>
      <c r="T548" s="493"/>
      <c r="U548" s="493"/>
      <c r="V548" s="493"/>
      <c r="W548" s="493"/>
      <c r="X548" s="493"/>
      <c r="Y548" s="493"/>
      <c r="Z548" s="493"/>
      <c r="AA548" s="493"/>
      <c r="AB548" s="493"/>
      <c r="AC548" s="471" t="s">
        <v>246</v>
      </c>
      <c r="AD548" s="803"/>
      <c r="AE548" s="803"/>
      <c r="AF548" s="871"/>
      <c r="AG548" s="491">
        <v>2.76</v>
      </c>
      <c r="AH548" s="491"/>
      <c r="AI548" s="491"/>
      <c r="AJ548" s="491"/>
      <c r="AK548" s="791">
        <v>1</v>
      </c>
      <c r="AL548" s="792"/>
      <c r="AM548" s="792"/>
      <c r="AN548" s="793"/>
      <c r="AO548" s="449">
        <f>ROUND(AG548*AK548,2)</f>
        <v>2.76</v>
      </c>
      <c r="AP548" s="449"/>
      <c r="AQ548" s="449"/>
      <c r="AR548" s="450"/>
    </row>
    <row r="549" spans="3:44" ht="18" customHeight="1">
      <c r="C549" s="758" t="s">
        <v>1382</v>
      </c>
      <c r="D549" s="759"/>
      <c r="E549" s="760"/>
      <c r="F549" s="796" t="s">
        <v>471</v>
      </c>
      <c r="G549" s="797"/>
      <c r="H549" s="797"/>
      <c r="I549" s="797"/>
      <c r="J549" s="797"/>
      <c r="K549" s="797"/>
      <c r="L549" s="797"/>
      <c r="M549" s="797"/>
      <c r="N549" s="797"/>
      <c r="O549" s="797"/>
      <c r="P549" s="797"/>
      <c r="Q549" s="797"/>
      <c r="R549" s="797"/>
      <c r="S549" s="797"/>
      <c r="T549" s="797"/>
      <c r="U549" s="797"/>
      <c r="V549" s="797"/>
      <c r="W549" s="797"/>
      <c r="X549" s="797"/>
      <c r="Y549" s="797"/>
      <c r="Z549" s="797"/>
      <c r="AA549" s="797"/>
      <c r="AB549" s="798"/>
      <c r="AC549" s="799" t="s">
        <v>246</v>
      </c>
      <c r="AD549" s="800"/>
      <c r="AE549" s="800"/>
      <c r="AF549" s="801"/>
      <c r="AG549" s="466">
        <f>VLOOKUP(C549,[4]MATERIAL!A$1:D$65536,4,FALSE)</f>
        <v>8.84</v>
      </c>
      <c r="AH549" s="467"/>
      <c r="AI549" s="467"/>
      <c r="AJ549" s="468"/>
      <c r="AK549" s="737">
        <v>0.15</v>
      </c>
      <c r="AL549" s="738"/>
      <c r="AM549" s="738"/>
      <c r="AN549" s="739"/>
      <c r="AO549" s="449">
        <f>ROUND(AG549*AK549,2)</f>
        <v>1.33</v>
      </c>
      <c r="AP549" s="449"/>
      <c r="AQ549" s="449"/>
      <c r="AR549" s="450"/>
    </row>
    <row r="550" spans="3:44" ht="18" customHeight="1">
      <c r="C550" s="758"/>
      <c r="D550" s="759"/>
      <c r="E550" s="760"/>
      <c r="F550" s="796"/>
      <c r="G550" s="797"/>
      <c r="H550" s="797"/>
      <c r="I550" s="797"/>
      <c r="J550" s="797"/>
      <c r="K550" s="797"/>
      <c r="L550" s="797"/>
      <c r="M550" s="797"/>
      <c r="N550" s="797"/>
      <c r="O550" s="797"/>
      <c r="P550" s="797"/>
      <c r="Q550" s="797"/>
      <c r="R550" s="797"/>
      <c r="S550" s="797"/>
      <c r="T550" s="797"/>
      <c r="U550" s="797"/>
      <c r="V550" s="797"/>
      <c r="W550" s="797"/>
      <c r="X550" s="797"/>
      <c r="Y550" s="797"/>
      <c r="Z550" s="797"/>
      <c r="AA550" s="797"/>
      <c r="AB550" s="798"/>
      <c r="AC550" s="799"/>
      <c r="AD550" s="800"/>
      <c r="AE550" s="800"/>
      <c r="AF550" s="801"/>
      <c r="AG550" s="466"/>
      <c r="AH550" s="467"/>
      <c r="AI550" s="467"/>
      <c r="AJ550" s="468"/>
      <c r="AK550" s="737"/>
      <c r="AL550" s="738"/>
      <c r="AM550" s="738"/>
      <c r="AN550" s="739"/>
      <c r="AO550" s="740"/>
      <c r="AP550" s="741"/>
      <c r="AQ550" s="741"/>
      <c r="AR550" s="742"/>
    </row>
    <row r="551" spans="3:44" ht="18" customHeight="1">
      <c r="C551" s="758"/>
      <c r="D551" s="759"/>
      <c r="E551" s="760"/>
      <c r="F551" s="796">
        <v>0</v>
      </c>
      <c r="G551" s="797"/>
      <c r="H551" s="797"/>
      <c r="I551" s="797"/>
      <c r="J551" s="797"/>
      <c r="K551" s="797"/>
      <c r="L551" s="797"/>
      <c r="M551" s="797"/>
      <c r="N551" s="797"/>
      <c r="O551" s="797"/>
      <c r="P551" s="797"/>
      <c r="Q551" s="797"/>
      <c r="R551" s="797"/>
      <c r="S551" s="797"/>
      <c r="T551" s="797"/>
      <c r="U551" s="797"/>
      <c r="V551" s="797"/>
      <c r="W551" s="797"/>
      <c r="X551" s="797"/>
      <c r="Y551" s="797"/>
      <c r="Z551" s="797"/>
      <c r="AA551" s="797"/>
      <c r="AB551" s="798"/>
      <c r="AC551" s="799"/>
      <c r="AD551" s="800"/>
      <c r="AE551" s="800"/>
      <c r="AF551" s="801"/>
      <c r="AG551" s="466"/>
      <c r="AH551" s="467"/>
      <c r="AI551" s="467"/>
      <c r="AJ551" s="468"/>
      <c r="AK551" s="737"/>
      <c r="AL551" s="738"/>
      <c r="AM551" s="738"/>
      <c r="AN551" s="739"/>
      <c r="AO551" s="740"/>
      <c r="AP551" s="741"/>
      <c r="AQ551" s="741"/>
      <c r="AR551" s="742"/>
    </row>
    <row r="552" spans="3:44" ht="18" customHeight="1">
      <c r="C552" s="758"/>
      <c r="D552" s="759"/>
      <c r="E552" s="760"/>
      <c r="F552" s="796">
        <v>0</v>
      </c>
      <c r="G552" s="797"/>
      <c r="H552" s="797"/>
      <c r="I552" s="797"/>
      <c r="J552" s="797"/>
      <c r="K552" s="797"/>
      <c r="L552" s="797"/>
      <c r="M552" s="797"/>
      <c r="N552" s="797"/>
      <c r="O552" s="797"/>
      <c r="P552" s="797"/>
      <c r="Q552" s="797"/>
      <c r="R552" s="797"/>
      <c r="S552" s="797"/>
      <c r="T552" s="797"/>
      <c r="U552" s="797"/>
      <c r="V552" s="797"/>
      <c r="W552" s="797"/>
      <c r="X552" s="797"/>
      <c r="Y552" s="797"/>
      <c r="Z552" s="797"/>
      <c r="AA552" s="797"/>
      <c r="AB552" s="798"/>
      <c r="AC552" s="799">
        <v>0</v>
      </c>
      <c r="AD552" s="800"/>
      <c r="AE552" s="800"/>
      <c r="AF552" s="801"/>
      <c r="AG552" s="466">
        <v>0</v>
      </c>
      <c r="AH552" s="467"/>
      <c r="AI552" s="467"/>
      <c r="AJ552" s="468"/>
      <c r="AK552" s="737"/>
      <c r="AL552" s="738"/>
      <c r="AM552" s="738"/>
      <c r="AN552" s="739"/>
      <c r="AO552" s="740">
        <f>ROUND(AG552*AK552,2)</f>
        <v>0</v>
      </c>
      <c r="AP552" s="741"/>
      <c r="AQ552" s="741"/>
      <c r="AR552" s="742"/>
    </row>
    <row r="553" spans="3:44" ht="18" customHeight="1">
      <c r="C553" s="758"/>
      <c r="D553" s="759"/>
      <c r="E553" s="760"/>
      <c r="F553" s="796"/>
      <c r="G553" s="797"/>
      <c r="H553" s="797"/>
      <c r="I553" s="797"/>
      <c r="J553" s="797"/>
      <c r="K553" s="797"/>
      <c r="L553" s="797"/>
      <c r="M553" s="797"/>
      <c r="N553" s="797"/>
      <c r="O553" s="797"/>
      <c r="P553" s="797"/>
      <c r="Q553" s="797"/>
      <c r="R553" s="797"/>
      <c r="S553" s="797"/>
      <c r="T553" s="797"/>
      <c r="U553" s="797"/>
      <c r="V553" s="797"/>
      <c r="W553" s="797"/>
      <c r="X553" s="797"/>
      <c r="Y553" s="797"/>
      <c r="Z553" s="797"/>
      <c r="AA553" s="797"/>
      <c r="AB553" s="798"/>
      <c r="AC553" s="799"/>
      <c r="AD553" s="800"/>
      <c r="AE553" s="800"/>
      <c r="AF553" s="801"/>
      <c r="AG553" s="466"/>
      <c r="AH553" s="467"/>
      <c r="AI553" s="467"/>
      <c r="AJ553" s="468"/>
      <c r="AK553" s="737"/>
      <c r="AL553" s="738"/>
      <c r="AM553" s="738"/>
      <c r="AN553" s="739"/>
      <c r="AO553" s="740"/>
      <c r="AP553" s="741"/>
      <c r="AQ553" s="741"/>
      <c r="AR553" s="742"/>
    </row>
    <row r="554" spans="3:44" ht="18" customHeight="1">
      <c r="C554" s="758"/>
      <c r="D554" s="759"/>
      <c r="E554" s="760"/>
      <c r="F554" s="796"/>
      <c r="G554" s="797"/>
      <c r="H554" s="797"/>
      <c r="I554" s="797"/>
      <c r="J554" s="797"/>
      <c r="K554" s="797"/>
      <c r="L554" s="797"/>
      <c r="M554" s="797"/>
      <c r="N554" s="797"/>
      <c r="O554" s="797"/>
      <c r="P554" s="797"/>
      <c r="Q554" s="797"/>
      <c r="R554" s="797"/>
      <c r="S554" s="797"/>
      <c r="T554" s="797"/>
      <c r="U554" s="797"/>
      <c r="V554" s="797"/>
      <c r="W554" s="797"/>
      <c r="X554" s="797"/>
      <c r="Y554" s="797"/>
      <c r="Z554" s="797"/>
      <c r="AA554" s="797"/>
      <c r="AB554" s="798"/>
      <c r="AC554" s="799"/>
      <c r="AD554" s="800"/>
      <c r="AE554" s="800"/>
      <c r="AF554" s="801"/>
      <c r="AG554" s="466"/>
      <c r="AH554" s="467"/>
      <c r="AI554" s="467"/>
      <c r="AJ554" s="468"/>
      <c r="AK554" s="737"/>
      <c r="AL554" s="738"/>
      <c r="AM554" s="738"/>
      <c r="AN554" s="739"/>
      <c r="AO554" s="740"/>
      <c r="AP554" s="741"/>
      <c r="AQ554" s="741"/>
      <c r="AR554" s="742"/>
    </row>
    <row r="555" spans="3:44" ht="18" customHeight="1">
      <c r="C555" s="758"/>
      <c r="D555" s="759"/>
      <c r="E555" s="760"/>
      <c r="F555" s="796"/>
      <c r="G555" s="797"/>
      <c r="H555" s="797"/>
      <c r="I555" s="797"/>
      <c r="J555" s="797"/>
      <c r="K555" s="797"/>
      <c r="L555" s="797"/>
      <c r="M555" s="797"/>
      <c r="N555" s="797"/>
      <c r="O555" s="797"/>
      <c r="P555" s="797"/>
      <c r="Q555" s="797"/>
      <c r="R555" s="797"/>
      <c r="S555" s="797"/>
      <c r="T555" s="797"/>
      <c r="U555" s="797"/>
      <c r="V555" s="797"/>
      <c r="W555" s="797"/>
      <c r="X555" s="797"/>
      <c r="Y555" s="797"/>
      <c r="Z555" s="797"/>
      <c r="AA555" s="797"/>
      <c r="AB555" s="798"/>
      <c r="AC555" s="799"/>
      <c r="AD555" s="800"/>
      <c r="AE555" s="800"/>
      <c r="AF555" s="801"/>
      <c r="AG555" s="466"/>
      <c r="AH555" s="467"/>
      <c r="AI555" s="467"/>
      <c r="AJ555" s="468"/>
      <c r="AK555" s="737"/>
      <c r="AL555" s="738"/>
      <c r="AM555" s="738"/>
      <c r="AN555" s="739"/>
      <c r="AO555" s="740"/>
      <c r="AP555" s="741"/>
      <c r="AQ555" s="741"/>
      <c r="AR555" s="742"/>
    </row>
    <row r="556" spans="3:44" ht="18" customHeight="1">
      <c r="C556" s="743"/>
      <c r="D556" s="744"/>
      <c r="E556" s="744"/>
      <c r="F556" s="744"/>
      <c r="G556" s="744"/>
      <c r="H556" s="744"/>
      <c r="I556" s="744"/>
      <c r="J556" s="744"/>
      <c r="K556" s="744"/>
      <c r="L556" s="744"/>
      <c r="M556" s="744"/>
      <c r="N556" s="744"/>
      <c r="O556" s="744"/>
      <c r="P556" s="744"/>
      <c r="Q556" s="744"/>
      <c r="R556" s="744"/>
      <c r="S556" s="744"/>
      <c r="T556" s="744"/>
      <c r="U556" s="744"/>
      <c r="V556" s="744"/>
      <c r="W556" s="744"/>
      <c r="X556" s="744"/>
      <c r="Y556" s="745" t="s">
        <v>88</v>
      </c>
      <c r="Z556" s="745"/>
      <c r="AA556" s="745"/>
      <c r="AB556" s="745"/>
      <c r="AC556" s="745"/>
      <c r="AD556" s="745"/>
      <c r="AE556" s="745"/>
      <c r="AF556" s="745"/>
      <c r="AG556" s="745"/>
      <c r="AH556" s="745"/>
      <c r="AI556" s="745"/>
      <c r="AJ556" s="745"/>
      <c r="AK556" s="745"/>
      <c r="AL556" s="745"/>
      <c r="AM556" s="745"/>
      <c r="AN556" s="430"/>
      <c r="AO556" s="477">
        <f>SUM(AO548:AR555)</f>
        <v>4.09</v>
      </c>
      <c r="AP556" s="746"/>
      <c r="AQ556" s="746"/>
      <c r="AR556" s="747"/>
    </row>
    <row r="558" spans="3:44" ht="18" customHeight="1">
      <c r="C558" s="794" t="s">
        <v>43</v>
      </c>
      <c r="D558" s="774"/>
      <c r="E558" s="775"/>
      <c r="F558" s="773" t="s">
        <v>89</v>
      </c>
      <c r="G558" s="774"/>
      <c r="H558" s="774"/>
      <c r="I558" s="774"/>
      <c r="J558" s="774"/>
      <c r="K558" s="774"/>
      <c r="L558" s="774"/>
      <c r="M558" s="774"/>
      <c r="N558" s="774"/>
      <c r="O558" s="774"/>
      <c r="P558" s="774"/>
      <c r="Q558" s="774"/>
      <c r="R558" s="775"/>
      <c r="S558" s="773" t="s">
        <v>90</v>
      </c>
      <c r="T558" s="774"/>
      <c r="U558" s="775"/>
      <c r="V558" s="773" t="s">
        <v>91</v>
      </c>
      <c r="W558" s="774"/>
      <c r="X558" s="775"/>
      <c r="Y558" s="773" t="s">
        <v>92</v>
      </c>
      <c r="Z558" s="774"/>
      <c r="AA558" s="774"/>
      <c r="AB558" s="774"/>
      <c r="AC558" s="774"/>
      <c r="AD558" s="775"/>
      <c r="AE558" s="773" t="s">
        <v>93</v>
      </c>
      <c r="AF558" s="774"/>
      <c r="AG558" s="775"/>
      <c r="AH558" s="773" t="s">
        <v>94</v>
      </c>
      <c r="AI558" s="774"/>
      <c r="AJ558" s="775"/>
      <c r="AK558" s="773" t="s">
        <v>86</v>
      </c>
      <c r="AL558" s="774"/>
      <c r="AM558" s="774"/>
      <c r="AN558" s="775"/>
      <c r="AO558" s="773" t="s">
        <v>87</v>
      </c>
      <c r="AP558" s="774"/>
      <c r="AQ558" s="774"/>
      <c r="AR558" s="779"/>
    </row>
    <row r="559" spans="3:44" ht="18" customHeight="1">
      <c r="C559" s="795"/>
      <c r="D559" s="777"/>
      <c r="E559" s="778"/>
      <c r="F559" s="776"/>
      <c r="G559" s="777"/>
      <c r="H559" s="777"/>
      <c r="I559" s="777"/>
      <c r="J559" s="777"/>
      <c r="K559" s="777"/>
      <c r="L559" s="777"/>
      <c r="M559" s="777"/>
      <c r="N559" s="777"/>
      <c r="O559" s="777"/>
      <c r="P559" s="777"/>
      <c r="Q559" s="777"/>
      <c r="R559" s="778"/>
      <c r="S559" s="776"/>
      <c r="T559" s="777"/>
      <c r="U559" s="778"/>
      <c r="V559" s="776"/>
      <c r="W559" s="777"/>
      <c r="X559" s="778"/>
      <c r="Y559" s="776"/>
      <c r="Z559" s="777"/>
      <c r="AA559" s="777"/>
      <c r="AB559" s="777"/>
      <c r="AC559" s="777"/>
      <c r="AD559" s="778"/>
      <c r="AE559" s="776"/>
      <c r="AF559" s="777"/>
      <c r="AG559" s="778"/>
      <c r="AH559" s="776"/>
      <c r="AI559" s="777"/>
      <c r="AJ559" s="778"/>
      <c r="AK559" s="776"/>
      <c r="AL559" s="777"/>
      <c r="AM559" s="777"/>
      <c r="AN559" s="778"/>
      <c r="AO559" s="776"/>
      <c r="AP559" s="777"/>
      <c r="AQ559" s="777"/>
      <c r="AR559" s="780"/>
    </row>
    <row r="560" spans="3:44" ht="18" customHeight="1">
      <c r="C560" s="781"/>
      <c r="D560" s="782"/>
      <c r="E560" s="783"/>
      <c r="F560" s="457"/>
      <c r="G560" s="457"/>
      <c r="H560" s="457"/>
      <c r="I560" s="457"/>
      <c r="J560" s="457"/>
      <c r="K560" s="457"/>
      <c r="L560" s="457"/>
      <c r="M560" s="457"/>
      <c r="N560" s="457"/>
      <c r="O560" s="457"/>
      <c r="P560" s="457"/>
      <c r="Q560" s="457"/>
      <c r="R560" s="457"/>
      <c r="S560" s="784"/>
      <c r="T560" s="785"/>
      <c r="U560" s="786"/>
      <c r="V560" s="784"/>
      <c r="W560" s="785"/>
      <c r="X560" s="786"/>
      <c r="Y560" s="787"/>
      <c r="Z560" s="788"/>
      <c r="AA560" s="788"/>
      <c r="AB560" s="788"/>
      <c r="AC560" s="788"/>
      <c r="AD560" s="789"/>
      <c r="AE560" s="449"/>
      <c r="AF560" s="449"/>
      <c r="AG560" s="449"/>
      <c r="AH560" s="770"/>
      <c r="AI560" s="771"/>
      <c r="AJ560" s="790"/>
      <c r="AK560" s="791"/>
      <c r="AL560" s="792"/>
      <c r="AM560" s="792"/>
      <c r="AN560" s="793"/>
      <c r="AO560" s="770"/>
      <c r="AP560" s="771"/>
      <c r="AQ560" s="771"/>
      <c r="AR560" s="772"/>
    </row>
    <row r="561" spans="1:44" ht="18" customHeight="1">
      <c r="C561" s="758"/>
      <c r="D561" s="759"/>
      <c r="E561" s="760"/>
      <c r="F561" s="761"/>
      <c r="G561" s="762"/>
      <c r="H561" s="762"/>
      <c r="I561" s="762"/>
      <c r="J561" s="762"/>
      <c r="K561" s="762"/>
      <c r="L561" s="762"/>
      <c r="M561" s="762"/>
      <c r="N561" s="762"/>
      <c r="O561" s="762"/>
      <c r="P561" s="762"/>
      <c r="Q561" s="762"/>
      <c r="R561" s="763"/>
      <c r="S561" s="764"/>
      <c r="T561" s="765"/>
      <c r="U561" s="766"/>
      <c r="V561" s="764"/>
      <c r="W561" s="765"/>
      <c r="X561" s="766"/>
      <c r="Y561" s="767"/>
      <c r="Z561" s="768"/>
      <c r="AA561" s="768"/>
      <c r="AB561" s="768"/>
      <c r="AC561" s="768"/>
      <c r="AD561" s="769"/>
      <c r="AE561" s="740"/>
      <c r="AF561" s="741"/>
      <c r="AG561" s="757"/>
      <c r="AH561" s="740"/>
      <c r="AI561" s="741"/>
      <c r="AJ561" s="757"/>
      <c r="AK561" s="737"/>
      <c r="AL561" s="738"/>
      <c r="AM561" s="738"/>
      <c r="AN561" s="739"/>
      <c r="AO561" s="740">
        <f t="shared" ref="AO561:AO567" si="7">ROUND(AE561*AH561*AK561,2)</f>
        <v>0</v>
      </c>
      <c r="AP561" s="741"/>
      <c r="AQ561" s="741"/>
      <c r="AR561" s="742"/>
    </row>
    <row r="562" spans="1:44" ht="18" customHeight="1">
      <c r="C562" s="758"/>
      <c r="D562" s="759"/>
      <c r="E562" s="760"/>
      <c r="F562" s="761"/>
      <c r="G562" s="762"/>
      <c r="H562" s="762"/>
      <c r="I562" s="762"/>
      <c r="J562" s="762"/>
      <c r="K562" s="762"/>
      <c r="L562" s="762"/>
      <c r="M562" s="762"/>
      <c r="N562" s="762"/>
      <c r="O562" s="762"/>
      <c r="P562" s="762"/>
      <c r="Q562" s="762"/>
      <c r="R562" s="763"/>
      <c r="S562" s="764"/>
      <c r="T562" s="765"/>
      <c r="U562" s="766"/>
      <c r="V562" s="764"/>
      <c r="W562" s="765"/>
      <c r="X562" s="766"/>
      <c r="Y562" s="767"/>
      <c r="Z562" s="768"/>
      <c r="AA562" s="768"/>
      <c r="AB562" s="768"/>
      <c r="AC562" s="768"/>
      <c r="AD562" s="769"/>
      <c r="AE562" s="740"/>
      <c r="AF562" s="741"/>
      <c r="AG562" s="757"/>
      <c r="AH562" s="740"/>
      <c r="AI562" s="741"/>
      <c r="AJ562" s="757"/>
      <c r="AK562" s="737"/>
      <c r="AL562" s="738"/>
      <c r="AM562" s="738"/>
      <c r="AN562" s="739"/>
      <c r="AO562" s="740">
        <f t="shared" si="7"/>
        <v>0</v>
      </c>
      <c r="AP562" s="741"/>
      <c r="AQ562" s="741"/>
      <c r="AR562" s="742"/>
    </row>
    <row r="563" spans="1:44" ht="18" customHeight="1">
      <c r="C563" s="758"/>
      <c r="D563" s="759"/>
      <c r="E563" s="760"/>
      <c r="F563" s="761"/>
      <c r="G563" s="762"/>
      <c r="H563" s="762"/>
      <c r="I563" s="762"/>
      <c r="J563" s="762"/>
      <c r="K563" s="762"/>
      <c r="L563" s="762"/>
      <c r="M563" s="762"/>
      <c r="N563" s="762"/>
      <c r="O563" s="762"/>
      <c r="P563" s="762"/>
      <c r="Q563" s="762"/>
      <c r="R563" s="763"/>
      <c r="S563" s="764"/>
      <c r="T563" s="765"/>
      <c r="U563" s="766"/>
      <c r="V563" s="764"/>
      <c r="W563" s="765"/>
      <c r="X563" s="766"/>
      <c r="Y563" s="767"/>
      <c r="Z563" s="768"/>
      <c r="AA563" s="768"/>
      <c r="AB563" s="768"/>
      <c r="AC563" s="768"/>
      <c r="AD563" s="769"/>
      <c r="AE563" s="740"/>
      <c r="AF563" s="741"/>
      <c r="AG563" s="757"/>
      <c r="AH563" s="740"/>
      <c r="AI563" s="741"/>
      <c r="AJ563" s="757"/>
      <c r="AK563" s="737"/>
      <c r="AL563" s="738"/>
      <c r="AM563" s="738"/>
      <c r="AN563" s="739"/>
      <c r="AO563" s="740">
        <f t="shared" si="7"/>
        <v>0</v>
      </c>
      <c r="AP563" s="741"/>
      <c r="AQ563" s="741"/>
      <c r="AR563" s="742"/>
    </row>
    <row r="564" spans="1:44" ht="18" customHeight="1">
      <c r="C564" s="758"/>
      <c r="D564" s="759"/>
      <c r="E564" s="760"/>
      <c r="F564" s="761"/>
      <c r="G564" s="762"/>
      <c r="H564" s="762"/>
      <c r="I564" s="762"/>
      <c r="J564" s="762"/>
      <c r="K564" s="762"/>
      <c r="L564" s="762"/>
      <c r="M564" s="762"/>
      <c r="N564" s="762"/>
      <c r="O564" s="762"/>
      <c r="P564" s="762"/>
      <c r="Q564" s="762"/>
      <c r="R564" s="763"/>
      <c r="S564" s="764"/>
      <c r="T564" s="765"/>
      <c r="U564" s="766"/>
      <c r="V564" s="764"/>
      <c r="W564" s="765"/>
      <c r="X564" s="766"/>
      <c r="Y564" s="767"/>
      <c r="Z564" s="768"/>
      <c r="AA564" s="768"/>
      <c r="AB564" s="768"/>
      <c r="AC564" s="768"/>
      <c r="AD564" s="769"/>
      <c r="AE564" s="740"/>
      <c r="AF564" s="741"/>
      <c r="AG564" s="757"/>
      <c r="AH564" s="740"/>
      <c r="AI564" s="741"/>
      <c r="AJ564" s="757"/>
      <c r="AK564" s="737"/>
      <c r="AL564" s="738"/>
      <c r="AM564" s="738"/>
      <c r="AN564" s="739"/>
      <c r="AO564" s="740">
        <f t="shared" si="7"/>
        <v>0</v>
      </c>
      <c r="AP564" s="741"/>
      <c r="AQ564" s="741"/>
      <c r="AR564" s="742"/>
    </row>
    <row r="565" spans="1:44" ht="18" customHeight="1">
      <c r="C565" s="758"/>
      <c r="D565" s="759"/>
      <c r="E565" s="760"/>
      <c r="F565" s="761"/>
      <c r="G565" s="762"/>
      <c r="H565" s="762"/>
      <c r="I565" s="762"/>
      <c r="J565" s="762"/>
      <c r="K565" s="762"/>
      <c r="L565" s="762"/>
      <c r="M565" s="762"/>
      <c r="N565" s="762"/>
      <c r="O565" s="762"/>
      <c r="P565" s="762"/>
      <c r="Q565" s="762"/>
      <c r="R565" s="763"/>
      <c r="S565" s="764"/>
      <c r="T565" s="765"/>
      <c r="U565" s="766"/>
      <c r="V565" s="764"/>
      <c r="W565" s="765"/>
      <c r="X565" s="766"/>
      <c r="Y565" s="767"/>
      <c r="Z565" s="768"/>
      <c r="AA565" s="768"/>
      <c r="AB565" s="768"/>
      <c r="AC565" s="768"/>
      <c r="AD565" s="769"/>
      <c r="AE565" s="740"/>
      <c r="AF565" s="741"/>
      <c r="AG565" s="757"/>
      <c r="AH565" s="740"/>
      <c r="AI565" s="741"/>
      <c r="AJ565" s="757"/>
      <c r="AK565" s="737"/>
      <c r="AL565" s="738"/>
      <c r="AM565" s="738"/>
      <c r="AN565" s="739"/>
      <c r="AO565" s="740">
        <f t="shared" si="7"/>
        <v>0</v>
      </c>
      <c r="AP565" s="741"/>
      <c r="AQ565" s="741"/>
      <c r="AR565" s="742"/>
    </row>
    <row r="566" spans="1:44" ht="18" customHeight="1">
      <c r="C566" s="758"/>
      <c r="D566" s="759"/>
      <c r="E566" s="760"/>
      <c r="F566" s="761"/>
      <c r="G566" s="762"/>
      <c r="H566" s="762"/>
      <c r="I566" s="762"/>
      <c r="J566" s="762"/>
      <c r="K566" s="762"/>
      <c r="L566" s="762"/>
      <c r="M566" s="762"/>
      <c r="N566" s="762"/>
      <c r="O566" s="762"/>
      <c r="P566" s="762"/>
      <c r="Q566" s="762"/>
      <c r="R566" s="763"/>
      <c r="S566" s="764"/>
      <c r="T566" s="765"/>
      <c r="U566" s="766"/>
      <c r="V566" s="764"/>
      <c r="W566" s="765"/>
      <c r="X566" s="766"/>
      <c r="Y566" s="767"/>
      <c r="Z566" s="768"/>
      <c r="AA566" s="768"/>
      <c r="AB566" s="768"/>
      <c r="AC566" s="768"/>
      <c r="AD566" s="769"/>
      <c r="AE566" s="740"/>
      <c r="AF566" s="741"/>
      <c r="AG566" s="757"/>
      <c r="AH566" s="740"/>
      <c r="AI566" s="741"/>
      <c r="AJ566" s="757"/>
      <c r="AK566" s="737"/>
      <c r="AL566" s="738"/>
      <c r="AM566" s="738"/>
      <c r="AN566" s="739"/>
      <c r="AO566" s="740">
        <f t="shared" si="7"/>
        <v>0</v>
      </c>
      <c r="AP566" s="741"/>
      <c r="AQ566" s="741"/>
      <c r="AR566" s="742"/>
    </row>
    <row r="567" spans="1:44" ht="18" customHeight="1">
      <c r="C567" s="758"/>
      <c r="D567" s="759"/>
      <c r="E567" s="760"/>
      <c r="F567" s="761"/>
      <c r="G567" s="762"/>
      <c r="H567" s="762"/>
      <c r="I567" s="762"/>
      <c r="J567" s="762"/>
      <c r="K567" s="762"/>
      <c r="L567" s="762"/>
      <c r="M567" s="762"/>
      <c r="N567" s="762"/>
      <c r="O567" s="762"/>
      <c r="P567" s="762"/>
      <c r="Q567" s="762"/>
      <c r="R567" s="763"/>
      <c r="S567" s="764"/>
      <c r="T567" s="765"/>
      <c r="U567" s="766"/>
      <c r="V567" s="764"/>
      <c r="W567" s="765"/>
      <c r="X567" s="766"/>
      <c r="Y567" s="767"/>
      <c r="Z567" s="768"/>
      <c r="AA567" s="768"/>
      <c r="AB567" s="768"/>
      <c r="AC567" s="768"/>
      <c r="AD567" s="769"/>
      <c r="AE567" s="740"/>
      <c r="AF567" s="741"/>
      <c r="AG567" s="757"/>
      <c r="AH567" s="740"/>
      <c r="AI567" s="741"/>
      <c r="AJ567" s="757"/>
      <c r="AK567" s="737"/>
      <c r="AL567" s="738"/>
      <c r="AM567" s="738"/>
      <c r="AN567" s="739"/>
      <c r="AO567" s="740">
        <f t="shared" si="7"/>
        <v>0</v>
      </c>
      <c r="AP567" s="741"/>
      <c r="AQ567" s="741"/>
      <c r="AR567" s="742"/>
    </row>
    <row r="568" spans="1:44" ht="18" customHeight="1">
      <c r="C568" s="743"/>
      <c r="D568" s="744"/>
      <c r="E568" s="744"/>
      <c r="F568" s="744"/>
      <c r="G568" s="744"/>
      <c r="H568" s="744"/>
      <c r="I568" s="744"/>
      <c r="J568" s="744"/>
      <c r="K568" s="744"/>
      <c r="L568" s="744"/>
      <c r="M568" s="744"/>
      <c r="N568" s="744"/>
      <c r="O568" s="744"/>
      <c r="P568" s="744"/>
      <c r="Q568" s="744"/>
      <c r="R568" s="744"/>
      <c r="S568" s="744"/>
      <c r="T568" s="744"/>
      <c r="U568" s="744"/>
      <c r="V568" s="744"/>
      <c r="W568" s="744"/>
      <c r="X568" s="744"/>
      <c r="Y568" s="745" t="s">
        <v>95</v>
      </c>
      <c r="Z568" s="745"/>
      <c r="AA568" s="745"/>
      <c r="AB568" s="745"/>
      <c r="AC568" s="745"/>
      <c r="AD568" s="745"/>
      <c r="AE568" s="745"/>
      <c r="AF568" s="745"/>
      <c r="AG568" s="745"/>
      <c r="AH568" s="745"/>
      <c r="AI568" s="745"/>
      <c r="AJ568" s="745"/>
      <c r="AK568" s="745"/>
      <c r="AL568" s="745"/>
      <c r="AM568" s="745"/>
      <c r="AN568" s="430"/>
      <c r="AO568" s="477">
        <f>SUM(AO560:AR567)</f>
        <v>0</v>
      </c>
      <c r="AP568" s="746"/>
      <c r="AQ568" s="746"/>
      <c r="AR568" s="747"/>
    </row>
    <row r="570" spans="1:44" ht="18" customHeight="1">
      <c r="C570" s="434"/>
      <c r="D570" s="434"/>
      <c r="E570" s="434"/>
      <c r="F570" s="434"/>
      <c r="G570" s="434"/>
      <c r="H570" s="434"/>
      <c r="I570" s="434"/>
      <c r="J570" s="434"/>
      <c r="K570" s="434"/>
      <c r="L570" s="434"/>
      <c r="M570" s="434"/>
      <c r="N570" s="434"/>
      <c r="O570" s="434"/>
      <c r="P570" s="434"/>
      <c r="Q570" s="434"/>
      <c r="R570" s="434"/>
      <c r="S570" s="434"/>
      <c r="T570" s="434"/>
      <c r="U570" s="434"/>
      <c r="V570" s="434"/>
      <c r="W570" s="434"/>
      <c r="X570" s="748"/>
      <c r="Y570" s="749" t="s">
        <v>96</v>
      </c>
      <c r="Z570" s="750"/>
      <c r="AA570" s="750"/>
      <c r="AB570" s="750"/>
      <c r="AC570" s="750"/>
      <c r="AD570" s="750"/>
      <c r="AE570" s="750"/>
      <c r="AF570" s="750"/>
      <c r="AG570" s="750"/>
      <c r="AH570" s="750"/>
      <c r="AI570" s="750"/>
      <c r="AJ570" s="750"/>
      <c r="AK570" s="750"/>
      <c r="AL570" s="750"/>
      <c r="AM570" s="750"/>
      <c r="AN570" s="751"/>
      <c r="AO570" s="752">
        <f>AO544+AO556+AO568</f>
        <v>10.6</v>
      </c>
      <c r="AP570" s="753"/>
      <c r="AQ570" s="753"/>
      <c r="AR570" s="754"/>
    </row>
    <row r="571" spans="1:44" ht="18" customHeight="1">
      <c r="C571" s="434"/>
      <c r="D571" s="434"/>
      <c r="E571" s="434"/>
      <c r="F571" s="434"/>
      <c r="G571" s="434"/>
      <c r="H571" s="434"/>
      <c r="I571" s="434"/>
      <c r="J571" s="434"/>
      <c r="K571" s="434"/>
      <c r="L571" s="434"/>
      <c r="M571" s="434"/>
      <c r="N571" s="434"/>
      <c r="O571" s="434"/>
      <c r="P571" s="434"/>
      <c r="Q571" s="434"/>
      <c r="R571" s="434"/>
      <c r="S571" s="434"/>
      <c r="T571" s="434"/>
      <c r="U571" s="434"/>
      <c r="V571" s="434"/>
      <c r="W571" s="434"/>
      <c r="X571" s="748"/>
      <c r="Y571" s="755" t="s">
        <v>97</v>
      </c>
      <c r="Z571" s="756"/>
      <c r="AA571" s="756"/>
      <c r="AB571" s="756"/>
      <c r="AC571" s="756"/>
      <c r="AD571" s="756"/>
      <c r="AE571" s="756"/>
      <c r="AF571" s="756"/>
      <c r="AG571" s="756"/>
      <c r="AH571" s="442">
        <v>0.2031</v>
      </c>
      <c r="AI571" s="442"/>
      <c r="AJ571" s="442"/>
      <c r="AK571" s="442"/>
      <c r="AL571" s="442"/>
      <c r="AM571" s="442"/>
      <c r="AN571" s="443"/>
      <c r="AO571" s="728">
        <f>ROUND(AO570*AH571,2)</f>
        <v>2.15</v>
      </c>
      <c r="AP571" s="729"/>
      <c r="AQ571" s="729"/>
      <c r="AR571" s="730"/>
    </row>
    <row r="572" spans="1:44" ht="18" customHeight="1">
      <c r="A572" s="415" t="s">
        <v>669</v>
      </c>
      <c r="B572" s="415"/>
      <c r="C572" s="434"/>
      <c r="D572" s="434"/>
      <c r="E572" s="434"/>
      <c r="F572" s="434"/>
      <c r="G572" s="434"/>
      <c r="H572" s="434"/>
      <c r="I572" s="434"/>
      <c r="J572" s="434"/>
      <c r="K572" s="434"/>
      <c r="L572" s="434"/>
      <c r="M572" s="434"/>
      <c r="N572" s="434"/>
      <c r="O572" s="434"/>
      <c r="P572" s="434"/>
      <c r="Q572" s="434"/>
      <c r="R572" s="434"/>
      <c r="S572" s="434"/>
      <c r="T572" s="434"/>
      <c r="U572" s="434"/>
      <c r="V572" s="434"/>
      <c r="W572" s="434"/>
      <c r="X572" s="748"/>
      <c r="Y572" s="731" t="s">
        <v>98</v>
      </c>
      <c r="Z572" s="732"/>
      <c r="AA572" s="732"/>
      <c r="AB572" s="732"/>
      <c r="AC572" s="732"/>
      <c r="AD572" s="732"/>
      <c r="AE572" s="732"/>
      <c r="AF572" s="732"/>
      <c r="AG572" s="732"/>
      <c r="AH572" s="732"/>
      <c r="AI572" s="732"/>
      <c r="AJ572" s="732"/>
      <c r="AK572" s="732"/>
      <c r="AL572" s="732"/>
      <c r="AM572" s="732"/>
      <c r="AN572" s="733"/>
      <c r="AO572" s="734">
        <f>SUM(AO570:AR571)</f>
        <v>12.75</v>
      </c>
      <c r="AP572" s="735"/>
      <c r="AQ572" s="735"/>
      <c r="AR572" s="736"/>
    </row>
    <row r="574" spans="1:44" ht="18" customHeight="1">
      <c r="C574" s="420" t="s">
        <v>99</v>
      </c>
      <c r="D574" s="421"/>
      <c r="E574" s="421"/>
      <c r="F574" s="421"/>
      <c r="G574" s="421"/>
      <c r="H574" s="421"/>
      <c r="I574" s="422"/>
      <c r="J574" s="422"/>
      <c r="K574" s="422"/>
      <c r="L574" s="422"/>
      <c r="M574" s="422"/>
      <c r="N574" s="422"/>
      <c r="O574" s="422"/>
      <c r="P574" s="422"/>
      <c r="Q574" s="422"/>
      <c r="R574" s="422"/>
      <c r="S574" s="422"/>
      <c r="T574" s="422"/>
      <c r="U574" s="422"/>
      <c r="V574" s="422"/>
      <c r="W574" s="422"/>
      <c r="X574" s="422"/>
      <c r="Y574" s="422"/>
      <c r="Z574" s="422"/>
      <c r="AA574" s="422"/>
      <c r="AB574" s="422"/>
      <c r="AC574" s="422"/>
      <c r="AD574" s="422"/>
      <c r="AE574" s="422"/>
      <c r="AF574" s="422"/>
      <c r="AG574" s="422"/>
      <c r="AH574" s="422"/>
      <c r="AI574" s="422"/>
      <c r="AJ574" s="422"/>
      <c r="AK574" s="422"/>
      <c r="AL574" s="422"/>
      <c r="AM574" s="422"/>
      <c r="AN574" s="422"/>
      <c r="AO574" s="422"/>
      <c r="AP574" s="422"/>
      <c r="AQ574" s="422"/>
      <c r="AR574" s="423"/>
    </row>
    <row r="575" spans="1:44" ht="18" customHeight="1">
      <c r="C575" s="411"/>
      <c r="D575" s="412"/>
      <c r="E575" s="412"/>
      <c r="F575" s="412"/>
      <c r="G575" s="412"/>
      <c r="H575" s="412"/>
      <c r="I575" s="409"/>
      <c r="J575" s="409"/>
      <c r="K575" s="409"/>
      <c r="L575" s="409"/>
      <c r="M575" s="409"/>
      <c r="N575" s="409"/>
      <c r="O575" s="409"/>
      <c r="P575" s="409"/>
      <c r="Q575" s="409"/>
      <c r="R575" s="409"/>
      <c r="S575" s="409"/>
      <c r="T575" s="409"/>
      <c r="U575" s="409"/>
      <c r="V575" s="409"/>
      <c r="W575" s="409"/>
      <c r="X575" s="409"/>
      <c r="Y575" s="409"/>
      <c r="Z575" s="409"/>
      <c r="AA575" s="409"/>
      <c r="AB575" s="409"/>
      <c r="AC575" s="409"/>
      <c r="AD575" s="409"/>
      <c r="AE575" s="409"/>
      <c r="AF575" s="409"/>
      <c r="AG575" s="409"/>
      <c r="AH575" s="409"/>
      <c r="AI575" s="409"/>
      <c r="AJ575" s="409"/>
      <c r="AK575" s="409"/>
      <c r="AL575" s="409"/>
      <c r="AM575" s="409"/>
      <c r="AN575" s="409"/>
      <c r="AO575" s="409"/>
      <c r="AP575" s="409"/>
      <c r="AQ575" s="409"/>
      <c r="AR575" s="410"/>
    </row>
    <row r="576" spans="1:44" ht="18" customHeight="1">
      <c r="C576" s="411"/>
      <c r="D576" s="412"/>
      <c r="E576" s="412"/>
      <c r="F576" s="412"/>
      <c r="G576" s="412"/>
      <c r="H576" s="412"/>
      <c r="I576" s="409"/>
      <c r="J576" s="409"/>
      <c r="K576" s="409"/>
      <c r="L576" s="409"/>
      <c r="M576" s="409"/>
      <c r="N576" s="409"/>
      <c r="O576" s="409"/>
      <c r="P576" s="409"/>
      <c r="Q576" s="409"/>
      <c r="R576" s="409"/>
      <c r="S576" s="409"/>
      <c r="T576" s="409"/>
      <c r="U576" s="409"/>
      <c r="V576" s="409"/>
      <c r="W576" s="409"/>
      <c r="X576" s="409"/>
      <c r="Y576" s="409"/>
      <c r="Z576" s="409"/>
      <c r="AA576" s="409"/>
      <c r="AB576" s="409"/>
      <c r="AC576" s="409"/>
      <c r="AD576" s="409"/>
      <c r="AE576" s="409"/>
      <c r="AF576" s="409"/>
      <c r="AG576" s="409"/>
      <c r="AH576" s="409"/>
      <c r="AI576" s="409"/>
      <c r="AJ576" s="409"/>
      <c r="AK576" s="409"/>
      <c r="AL576" s="409"/>
      <c r="AM576" s="409"/>
      <c r="AN576" s="409"/>
      <c r="AO576" s="409"/>
      <c r="AP576" s="409"/>
      <c r="AQ576" s="409"/>
      <c r="AR576" s="410"/>
    </row>
    <row r="577" spans="3:44" ht="18" customHeight="1">
      <c r="C577" s="411"/>
      <c r="D577" s="412"/>
      <c r="E577" s="412"/>
      <c r="F577" s="412"/>
      <c r="G577" s="412"/>
      <c r="H577" s="412"/>
      <c r="I577" s="409"/>
      <c r="J577" s="409"/>
      <c r="K577" s="409"/>
      <c r="L577" s="409"/>
      <c r="M577" s="409"/>
      <c r="N577" s="409"/>
      <c r="O577" s="409"/>
      <c r="P577" s="409"/>
      <c r="Q577" s="409"/>
      <c r="R577" s="409"/>
      <c r="S577" s="409"/>
      <c r="T577" s="409"/>
      <c r="U577" s="409"/>
      <c r="V577" s="409"/>
      <c r="W577" s="409"/>
      <c r="X577" s="409"/>
      <c r="Y577" s="409"/>
      <c r="Z577" s="409"/>
      <c r="AA577" s="409"/>
      <c r="AB577" s="409"/>
      <c r="AC577" s="409"/>
      <c r="AD577" s="409"/>
      <c r="AE577" s="409"/>
      <c r="AF577" s="409"/>
      <c r="AG577" s="409"/>
      <c r="AH577" s="409"/>
      <c r="AI577" s="409"/>
      <c r="AJ577" s="409"/>
      <c r="AK577" s="409"/>
      <c r="AL577" s="409"/>
      <c r="AM577" s="409"/>
      <c r="AN577" s="409"/>
      <c r="AO577" s="409"/>
      <c r="AP577" s="409"/>
      <c r="AQ577" s="409"/>
      <c r="AR577" s="410"/>
    </row>
    <row r="578" spans="3:44" ht="18" customHeight="1">
      <c r="C578" s="411"/>
      <c r="D578" s="412"/>
      <c r="E578" s="412"/>
      <c r="F578" s="412"/>
      <c r="G578" s="412"/>
      <c r="H578" s="412"/>
      <c r="I578" s="409"/>
      <c r="J578" s="409"/>
      <c r="K578" s="409"/>
      <c r="L578" s="409"/>
      <c r="M578" s="409"/>
      <c r="N578" s="409"/>
      <c r="O578" s="409"/>
      <c r="P578" s="409"/>
      <c r="Q578" s="409"/>
      <c r="R578" s="409"/>
      <c r="S578" s="409"/>
      <c r="T578" s="409"/>
      <c r="U578" s="409"/>
      <c r="V578" s="409"/>
      <c r="W578" s="409"/>
      <c r="X578" s="409"/>
      <c r="Y578" s="409"/>
      <c r="Z578" s="409"/>
      <c r="AA578" s="409"/>
      <c r="AB578" s="409"/>
      <c r="AC578" s="409"/>
      <c r="AD578" s="409"/>
      <c r="AE578" s="409"/>
      <c r="AF578" s="409"/>
      <c r="AG578" s="409"/>
      <c r="AH578" s="409"/>
      <c r="AI578" s="409"/>
      <c r="AJ578" s="409"/>
      <c r="AK578" s="409"/>
      <c r="AL578" s="409"/>
      <c r="AM578" s="409"/>
      <c r="AN578" s="409"/>
      <c r="AO578" s="409"/>
      <c r="AP578" s="409"/>
      <c r="AQ578" s="409"/>
      <c r="AR578" s="410"/>
    </row>
    <row r="579" spans="3:44" ht="18" customHeight="1">
      <c r="C579" s="385"/>
      <c r="D579" s="386"/>
      <c r="E579" s="386"/>
      <c r="F579" s="386"/>
      <c r="G579" s="386"/>
      <c r="H579" s="386"/>
      <c r="I579" s="387"/>
      <c r="J579" s="387"/>
      <c r="K579" s="387"/>
      <c r="L579" s="387"/>
      <c r="M579" s="387"/>
      <c r="N579" s="387"/>
      <c r="O579" s="387"/>
      <c r="P579" s="387"/>
      <c r="Q579" s="387"/>
      <c r="R579" s="387"/>
      <c r="S579" s="387"/>
      <c r="T579" s="387"/>
      <c r="U579" s="387"/>
      <c r="V579" s="387"/>
      <c r="W579" s="387"/>
      <c r="X579" s="387"/>
      <c r="Y579" s="387"/>
      <c r="Z579" s="387"/>
      <c r="AA579" s="387"/>
      <c r="AB579" s="387"/>
      <c r="AC579" s="387"/>
      <c r="AD579" s="387"/>
      <c r="AE579" s="387"/>
      <c r="AF579" s="387"/>
      <c r="AG579" s="387"/>
      <c r="AH579" s="387"/>
      <c r="AI579" s="387"/>
      <c r="AJ579" s="387"/>
      <c r="AK579" s="387"/>
      <c r="AL579" s="387"/>
      <c r="AM579" s="387"/>
      <c r="AN579" s="387"/>
      <c r="AO579" s="387"/>
      <c r="AP579" s="387"/>
      <c r="AQ579" s="387"/>
      <c r="AR579" s="388"/>
    </row>
    <row r="581" spans="3:44" ht="18" customHeight="1">
      <c r="C581" s="389" t="s">
        <v>100</v>
      </c>
      <c r="D581" s="390"/>
      <c r="E581" s="390"/>
      <c r="F581" s="390"/>
      <c r="G581" s="390"/>
      <c r="H581" s="390"/>
      <c r="I581" s="390"/>
      <c r="J581" s="390"/>
      <c r="K581" s="390"/>
      <c r="L581" s="390"/>
      <c r="M581" s="390"/>
      <c r="N581" s="390"/>
      <c r="O581" s="390"/>
      <c r="P581" s="390"/>
      <c r="Q581" s="390"/>
      <c r="R581" s="390"/>
      <c r="S581" s="390"/>
      <c r="T581" s="390"/>
      <c r="U581" s="390"/>
      <c r="V581" s="390"/>
      <c r="W581" s="390"/>
      <c r="X581" s="390"/>
      <c r="Y581" s="390"/>
      <c r="Z581" s="390"/>
      <c r="AA581" s="391"/>
      <c r="AB581" s="392" t="str">
        <f>[4]C.UNIT.SERV.!$E$5</f>
        <v>DATA-BASE:      MAIO/2011/PR</v>
      </c>
      <c r="AC581" s="393"/>
      <c r="AD581" s="393"/>
      <c r="AE581" s="393"/>
      <c r="AF581" s="393"/>
      <c r="AG581" s="393"/>
      <c r="AH581" s="393"/>
      <c r="AI581" s="394"/>
      <c r="AJ581" s="392"/>
      <c r="AK581" s="393"/>
      <c r="AL581" s="393"/>
      <c r="AM581" s="393"/>
      <c r="AN581" s="393"/>
      <c r="AO581" s="393"/>
      <c r="AP581" s="393"/>
      <c r="AQ581" s="393"/>
      <c r="AR581" s="401"/>
    </row>
    <row r="582" spans="3:44" ht="18" customHeight="1">
      <c r="C582" s="404" t="s">
        <v>101</v>
      </c>
      <c r="D582" s="405"/>
      <c r="E582" s="405"/>
      <c r="F582" s="405"/>
      <c r="G582" s="405" t="s">
        <v>283</v>
      </c>
      <c r="H582" s="405"/>
      <c r="I582" s="405"/>
      <c r="J582" s="405"/>
      <c r="K582" s="405"/>
      <c r="L582" s="405"/>
      <c r="M582" s="405"/>
      <c r="N582" s="405"/>
      <c r="O582" s="405"/>
      <c r="P582" s="405"/>
      <c r="Q582" s="405"/>
      <c r="R582" s="405"/>
      <c r="S582" s="405"/>
      <c r="T582" s="405"/>
      <c r="U582" s="405"/>
      <c r="V582" s="405"/>
      <c r="W582" s="405"/>
      <c r="X582" s="405"/>
      <c r="Y582" s="405"/>
      <c r="Z582" s="405"/>
      <c r="AA582" s="406"/>
      <c r="AB582" s="395"/>
      <c r="AC582" s="396"/>
      <c r="AD582" s="396"/>
      <c r="AE582" s="396"/>
      <c r="AF582" s="396"/>
      <c r="AG582" s="396"/>
      <c r="AH582" s="396"/>
      <c r="AI582" s="397"/>
      <c r="AJ582" s="395"/>
      <c r="AK582" s="396"/>
      <c r="AL582" s="396"/>
      <c r="AM582" s="396"/>
      <c r="AN582" s="396"/>
      <c r="AO582" s="396"/>
      <c r="AP582" s="396"/>
      <c r="AQ582" s="396"/>
      <c r="AR582" s="402"/>
    </row>
    <row r="583" spans="3:44" ht="18" customHeight="1">
      <c r="C583" s="404" t="s">
        <v>102</v>
      </c>
      <c r="D583" s="405"/>
      <c r="E583" s="405"/>
      <c r="F583" s="405"/>
      <c r="G583" s="405"/>
      <c r="H583" s="405"/>
      <c r="I583" s="405"/>
      <c r="J583" s="405"/>
      <c r="K583" s="405"/>
      <c r="L583" s="405"/>
      <c r="M583" s="405"/>
      <c r="N583" s="405"/>
      <c r="O583" s="405"/>
      <c r="P583" s="405"/>
      <c r="Q583" s="405"/>
      <c r="R583" s="405"/>
      <c r="S583" s="405"/>
      <c r="T583" s="405"/>
      <c r="U583" s="405"/>
      <c r="V583" s="405"/>
      <c r="W583" s="405"/>
      <c r="X583" s="405"/>
      <c r="Y583" s="405"/>
      <c r="Z583" s="405"/>
      <c r="AA583" s="406"/>
      <c r="AB583" s="395"/>
      <c r="AC583" s="396"/>
      <c r="AD583" s="396"/>
      <c r="AE583" s="396"/>
      <c r="AF583" s="396"/>
      <c r="AG583" s="396"/>
      <c r="AH583" s="396"/>
      <c r="AI583" s="397"/>
      <c r="AJ583" s="395"/>
      <c r="AK583" s="396"/>
      <c r="AL583" s="396"/>
      <c r="AM583" s="396"/>
      <c r="AN583" s="396"/>
      <c r="AO583" s="396"/>
      <c r="AP583" s="396"/>
      <c r="AQ583" s="396"/>
      <c r="AR583" s="402"/>
    </row>
    <row r="584" spans="3:44" ht="18" customHeight="1">
      <c r="C584" s="407"/>
      <c r="D584" s="408"/>
      <c r="E584" s="408"/>
      <c r="F584" s="408"/>
      <c r="G584" s="408"/>
      <c r="H584" s="408"/>
      <c r="I584" s="408"/>
      <c r="J584" s="408"/>
      <c r="K584" s="408"/>
      <c r="L584" s="408"/>
      <c r="M584" s="408"/>
      <c r="N584" s="408"/>
      <c r="O584" s="408"/>
      <c r="P584" s="408"/>
      <c r="Q584" s="408"/>
      <c r="R584" s="408"/>
      <c r="S584" s="408"/>
      <c r="T584" s="408"/>
      <c r="U584" s="408"/>
      <c r="V584" s="408"/>
      <c r="W584" s="408"/>
      <c r="X584" s="408"/>
      <c r="Y584" s="408"/>
      <c r="Z584" s="408"/>
      <c r="AA584" s="408"/>
      <c r="AB584" s="398"/>
      <c r="AC584" s="399"/>
      <c r="AD584" s="399"/>
      <c r="AE584" s="399"/>
      <c r="AF584" s="399"/>
      <c r="AG584" s="399"/>
      <c r="AH584" s="399"/>
      <c r="AI584" s="400"/>
      <c r="AJ584" s="398"/>
      <c r="AK584" s="399"/>
      <c r="AL584" s="399"/>
      <c r="AM584" s="399"/>
      <c r="AN584" s="399"/>
      <c r="AO584" s="399"/>
      <c r="AP584" s="399"/>
      <c r="AQ584" s="399"/>
      <c r="AR584" s="403"/>
    </row>
    <row r="586" spans="3:44" ht="18" customHeight="1">
      <c r="C586" s="850" t="s">
        <v>64</v>
      </c>
      <c r="D586" s="851"/>
      <c r="E586" s="851"/>
      <c r="F586" s="851"/>
      <c r="G586" s="851"/>
      <c r="H586" s="851"/>
      <c r="I586" s="851"/>
      <c r="J586" s="851"/>
      <c r="K586" s="851"/>
      <c r="L586" s="851"/>
      <c r="M586" s="851"/>
      <c r="N586" s="851"/>
      <c r="O586" s="851"/>
      <c r="P586" s="851"/>
      <c r="Q586" s="851"/>
      <c r="R586" s="851"/>
      <c r="S586" s="851"/>
      <c r="T586" s="851"/>
      <c r="U586" s="851"/>
      <c r="V586" s="851"/>
      <c r="W586" s="851"/>
      <c r="X586" s="851"/>
      <c r="Y586" s="851"/>
      <c r="Z586" s="851"/>
      <c r="AA586" s="851"/>
      <c r="AB586" s="851"/>
      <c r="AC586" s="851"/>
      <c r="AD586" s="851"/>
      <c r="AE586" s="851"/>
      <c r="AF586" s="851"/>
      <c r="AG586" s="851"/>
      <c r="AH586" s="851"/>
      <c r="AI586" s="851"/>
      <c r="AJ586" s="851"/>
      <c r="AK586" s="851"/>
      <c r="AL586" s="851"/>
      <c r="AM586" s="851"/>
      <c r="AN586" s="851"/>
      <c r="AO586" s="851"/>
      <c r="AP586" s="851"/>
      <c r="AQ586" s="851"/>
      <c r="AR586" s="852"/>
    </row>
    <row r="587" spans="3:44" ht="18" customHeight="1">
      <c r="C587" s="853"/>
      <c r="D587" s="854"/>
      <c r="E587" s="854"/>
      <c r="F587" s="854"/>
      <c r="G587" s="854"/>
      <c r="H587" s="854"/>
      <c r="I587" s="854"/>
      <c r="J587" s="854"/>
      <c r="K587" s="854"/>
      <c r="L587" s="854"/>
      <c r="M587" s="854"/>
      <c r="N587" s="854"/>
      <c r="O587" s="854"/>
      <c r="P587" s="854"/>
      <c r="Q587" s="854"/>
      <c r="R587" s="854"/>
      <c r="S587" s="854"/>
      <c r="T587" s="854"/>
      <c r="U587" s="854"/>
      <c r="V587" s="854"/>
      <c r="W587" s="854"/>
      <c r="X587" s="854"/>
      <c r="Y587" s="854"/>
      <c r="Z587" s="854"/>
      <c r="AA587" s="854"/>
      <c r="AB587" s="854"/>
      <c r="AC587" s="854"/>
      <c r="AD587" s="854"/>
      <c r="AE587" s="854"/>
      <c r="AF587" s="854"/>
      <c r="AG587" s="854"/>
      <c r="AH587" s="854"/>
      <c r="AI587" s="854"/>
      <c r="AJ587" s="854"/>
      <c r="AK587" s="854"/>
      <c r="AL587" s="854"/>
      <c r="AM587" s="854"/>
      <c r="AN587" s="854"/>
      <c r="AO587" s="854"/>
      <c r="AP587" s="854"/>
      <c r="AQ587" s="854"/>
      <c r="AR587" s="855"/>
    </row>
    <row r="588" spans="3:44" ht="18" customHeight="1">
      <c r="C588" s="856" t="s">
        <v>65</v>
      </c>
      <c r="D588" s="857"/>
      <c r="E588" s="857"/>
      <c r="F588" s="857"/>
      <c r="G588" s="860" t="s">
        <v>670</v>
      </c>
      <c r="H588" s="860"/>
      <c r="I588" s="860"/>
      <c r="J588" s="861"/>
      <c r="K588" s="864" t="s">
        <v>66</v>
      </c>
      <c r="L588" s="865"/>
      <c r="M588" s="865"/>
      <c r="N588" s="865"/>
      <c r="O588" s="522" t="s">
        <v>694</v>
      </c>
      <c r="P588" s="523"/>
      <c r="Q588" s="523"/>
      <c r="R588" s="523"/>
      <c r="S588" s="523"/>
      <c r="T588" s="523"/>
      <c r="U588" s="523"/>
      <c r="V588" s="523"/>
      <c r="W588" s="523"/>
      <c r="X588" s="523"/>
      <c r="Y588" s="523"/>
      <c r="Z588" s="523"/>
      <c r="AA588" s="523"/>
      <c r="AB588" s="523"/>
      <c r="AC588" s="523"/>
      <c r="AD588" s="523"/>
      <c r="AE588" s="523"/>
      <c r="AF588" s="523"/>
      <c r="AG588" s="523"/>
      <c r="AH588" s="523"/>
      <c r="AI588" s="523"/>
      <c r="AJ588" s="523"/>
      <c r="AK588" s="523"/>
      <c r="AL588" s="864" t="s">
        <v>67</v>
      </c>
      <c r="AM588" s="865"/>
      <c r="AN588" s="865"/>
      <c r="AO588" s="865"/>
      <c r="AP588" s="843" t="s">
        <v>246</v>
      </c>
      <c r="AQ588" s="843"/>
      <c r="AR588" s="844"/>
    </row>
    <row r="589" spans="3:44" ht="18" customHeight="1">
      <c r="C589" s="858"/>
      <c r="D589" s="859"/>
      <c r="E589" s="859"/>
      <c r="F589" s="859"/>
      <c r="G589" s="862"/>
      <c r="H589" s="862"/>
      <c r="I589" s="862"/>
      <c r="J589" s="863"/>
      <c r="K589" s="866"/>
      <c r="L589" s="867"/>
      <c r="M589" s="867"/>
      <c r="N589" s="867"/>
      <c r="O589" s="524"/>
      <c r="P589" s="525"/>
      <c r="Q589" s="525"/>
      <c r="R589" s="525"/>
      <c r="S589" s="525"/>
      <c r="T589" s="525"/>
      <c r="U589" s="525"/>
      <c r="V589" s="525"/>
      <c r="W589" s="525"/>
      <c r="X589" s="525"/>
      <c r="Y589" s="525"/>
      <c r="Z589" s="525"/>
      <c r="AA589" s="525"/>
      <c r="AB589" s="525"/>
      <c r="AC589" s="525"/>
      <c r="AD589" s="525"/>
      <c r="AE589" s="525"/>
      <c r="AF589" s="525"/>
      <c r="AG589" s="525"/>
      <c r="AH589" s="525"/>
      <c r="AI589" s="525"/>
      <c r="AJ589" s="525"/>
      <c r="AK589" s="525"/>
      <c r="AL589" s="866"/>
      <c r="AM589" s="867"/>
      <c r="AN589" s="867"/>
      <c r="AO589" s="867"/>
      <c r="AP589" s="845"/>
      <c r="AQ589" s="845"/>
      <c r="AR589" s="846"/>
    </row>
    <row r="591" spans="3:44" ht="18" customHeight="1">
      <c r="C591" s="794" t="s">
        <v>43</v>
      </c>
      <c r="D591" s="774"/>
      <c r="E591" s="775"/>
      <c r="F591" s="773" t="s">
        <v>68</v>
      </c>
      <c r="G591" s="774"/>
      <c r="H591" s="774"/>
      <c r="I591" s="774"/>
      <c r="J591" s="774"/>
      <c r="K591" s="774"/>
      <c r="L591" s="774"/>
      <c r="M591" s="774"/>
      <c r="N591" s="774"/>
      <c r="O591" s="774"/>
      <c r="P591" s="774"/>
      <c r="Q591" s="774"/>
      <c r="R591" s="774"/>
      <c r="S591" s="774"/>
      <c r="T591" s="774"/>
      <c r="U591" s="775"/>
      <c r="V591" s="773" t="s">
        <v>249</v>
      </c>
      <c r="W591" s="774"/>
      <c r="X591" s="775"/>
      <c r="Y591" s="847" t="s">
        <v>69</v>
      </c>
      <c r="Z591" s="848"/>
      <c r="AA591" s="848"/>
      <c r="AB591" s="848"/>
      <c r="AC591" s="848"/>
      <c r="AD591" s="848"/>
      <c r="AE591" s="848"/>
      <c r="AF591" s="849"/>
      <c r="AG591" s="847" t="s">
        <v>70</v>
      </c>
      <c r="AH591" s="848"/>
      <c r="AI591" s="848"/>
      <c r="AJ591" s="848"/>
      <c r="AK591" s="848"/>
      <c r="AL591" s="848"/>
      <c r="AM591" s="848"/>
      <c r="AN591" s="849"/>
      <c r="AO591" s="773" t="s">
        <v>71</v>
      </c>
      <c r="AP591" s="774"/>
      <c r="AQ591" s="774"/>
      <c r="AR591" s="779"/>
    </row>
    <row r="592" spans="3:44" ht="18" customHeight="1">
      <c r="C592" s="795"/>
      <c r="D592" s="777"/>
      <c r="E592" s="778"/>
      <c r="F592" s="776"/>
      <c r="G592" s="777"/>
      <c r="H592" s="777"/>
      <c r="I592" s="777"/>
      <c r="J592" s="777"/>
      <c r="K592" s="777"/>
      <c r="L592" s="777"/>
      <c r="M592" s="777"/>
      <c r="N592" s="777"/>
      <c r="O592" s="777"/>
      <c r="P592" s="777"/>
      <c r="Q592" s="777"/>
      <c r="R592" s="777"/>
      <c r="S592" s="777"/>
      <c r="T592" s="777"/>
      <c r="U592" s="778"/>
      <c r="V592" s="776"/>
      <c r="W592" s="777"/>
      <c r="X592" s="778"/>
      <c r="Y592" s="834" t="s">
        <v>72</v>
      </c>
      <c r="Z592" s="835"/>
      <c r="AA592" s="835"/>
      <c r="AB592" s="836"/>
      <c r="AC592" s="834" t="s">
        <v>73</v>
      </c>
      <c r="AD592" s="835"/>
      <c r="AE592" s="835"/>
      <c r="AF592" s="836"/>
      <c r="AG592" s="834" t="s">
        <v>72</v>
      </c>
      <c r="AH592" s="835"/>
      <c r="AI592" s="835"/>
      <c r="AJ592" s="836"/>
      <c r="AK592" s="834" t="s">
        <v>73</v>
      </c>
      <c r="AL592" s="835"/>
      <c r="AM592" s="835"/>
      <c r="AN592" s="836"/>
      <c r="AO592" s="776"/>
      <c r="AP592" s="777"/>
      <c r="AQ592" s="777"/>
      <c r="AR592" s="780"/>
    </row>
    <row r="593" spans="3:44" ht="18" customHeight="1">
      <c r="C593" s="781" t="s">
        <v>1379</v>
      </c>
      <c r="D593" s="782"/>
      <c r="E593" s="783"/>
      <c r="F593" s="493" t="s">
        <v>468</v>
      </c>
      <c r="G593" s="493"/>
      <c r="H593" s="493"/>
      <c r="I593" s="493"/>
      <c r="J593" s="493"/>
      <c r="K593" s="493"/>
      <c r="L593" s="493"/>
      <c r="M593" s="493"/>
      <c r="N593" s="493"/>
      <c r="O593" s="493"/>
      <c r="P593" s="493"/>
      <c r="Q593" s="493"/>
      <c r="R593" s="493"/>
      <c r="S593" s="493"/>
      <c r="T593" s="493"/>
      <c r="U593" s="493"/>
      <c r="V593" s="837">
        <v>1</v>
      </c>
      <c r="W593" s="838"/>
      <c r="X593" s="839"/>
      <c r="Y593" s="837">
        <v>1</v>
      </c>
      <c r="Z593" s="838"/>
      <c r="AA593" s="838"/>
      <c r="AB593" s="839"/>
      <c r="AC593" s="868">
        <f>1-Y593</f>
        <v>0</v>
      </c>
      <c r="AD593" s="869"/>
      <c r="AE593" s="869"/>
      <c r="AF593" s="870"/>
      <c r="AG593" s="491">
        <f>VLOOKUP(C593,[4]EQUIPAMENTOS!A$1:D$65536,3,FALSE)</f>
        <v>3.1082000000000001</v>
      </c>
      <c r="AH593" s="491"/>
      <c r="AI593" s="491"/>
      <c r="AJ593" s="491"/>
      <c r="AK593" s="491">
        <f>VLOOKUP(C593,[4]EQUIPAMENTOS!A$1:D$65536,4,FALSE)</f>
        <v>0</v>
      </c>
      <c r="AL593" s="491"/>
      <c r="AM593" s="491"/>
      <c r="AN593" s="491"/>
      <c r="AO593" s="491">
        <f>ROUND((Y593*AG593+AC593*AK593)*V593,2)</f>
        <v>3.11</v>
      </c>
      <c r="AP593" s="491"/>
      <c r="AQ593" s="491"/>
      <c r="AR593" s="492"/>
    </row>
    <row r="594" spans="3:44" ht="18" customHeight="1">
      <c r="C594" s="758"/>
      <c r="D594" s="759"/>
      <c r="E594" s="760"/>
      <c r="F594" s="493"/>
      <c r="G594" s="493"/>
      <c r="H594" s="493"/>
      <c r="I594" s="493"/>
      <c r="J594" s="493"/>
      <c r="K594" s="493"/>
      <c r="L594" s="493"/>
      <c r="M594" s="493"/>
      <c r="N594" s="493"/>
      <c r="O594" s="493"/>
      <c r="P594" s="493"/>
      <c r="Q594" s="493"/>
      <c r="R594" s="493"/>
      <c r="S594" s="493"/>
      <c r="T594" s="493"/>
      <c r="U594" s="493"/>
      <c r="V594" s="466"/>
      <c r="W594" s="467"/>
      <c r="X594" s="468"/>
      <c r="Y594" s="466"/>
      <c r="Z594" s="467"/>
      <c r="AA594" s="467"/>
      <c r="AB594" s="468"/>
      <c r="AC594" s="828"/>
      <c r="AD594" s="829"/>
      <c r="AE594" s="829"/>
      <c r="AF594" s="830"/>
      <c r="AG594" s="491"/>
      <c r="AH594" s="491"/>
      <c r="AI594" s="491"/>
      <c r="AJ594" s="491"/>
      <c r="AK594" s="491"/>
      <c r="AL594" s="491"/>
      <c r="AM594" s="491"/>
      <c r="AN594" s="491"/>
      <c r="AO594" s="491"/>
      <c r="AP594" s="491"/>
      <c r="AQ594" s="491"/>
      <c r="AR594" s="492"/>
    </row>
    <row r="595" spans="3:44" ht="18" customHeight="1">
      <c r="C595" s="758"/>
      <c r="D595" s="759"/>
      <c r="E595" s="760"/>
      <c r="F595" s="493"/>
      <c r="G595" s="493"/>
      <c r="H595" s="493"/>
      <c r="I595" s="493"/>
      <c r="J595" s="493"/>
      <c r="K595" s="493"/>
      <c r="L595" s="493"/>
      <c r="M595" s="493"/>
      <c r="N595" s="493"/>
      <c r="O595" s="493"/>
      <c r="P595" s="493"/>
      <c r="Q595" s="493"/>
      <c r="R595" s="493"/>
      <c r="S595" s="493"/>
      <c r="T595" s="493"/>
      <c r="U595" s="493"/>
      <c r="V595" s="466"/>
      <c r="W595" s="467"/>
      <c r="X595" s="468"/>
      <c r="Y595" s="466"/>
      <c r="Z595" s="467"/>
      <c r="AA595" s="467"/>
      <c r="AB595" s="468"/>
      <c r="AC595" s="828"/>
      <c r="AD595" s="829"/>
      <c r="AE595" s="829"/>
      <c r="AF595" s="830"/>
      <c r="AG595" s="491"/>
      <c r="AH595" s="491"/>
      <c r="AI595" s="491"/>
      <c r="AJ595" s="491"/>
      <c r="AK595" s="491"/>
      <c r="AL595" s="491"/>
      <c r="AM595" s="491"/>
      <c r="AN595" s="491"/>
      <c r="AO595" s="491"/>
      <c r="AP595" s="491"/>
      <c r="AQ595" s="491"/>
      <c r="AR595" s="492"/>
    </row>
    <row r="596" spans="3:44" ht="18" customHeight="1">
      <c r="C596" s="758"/>
      <c r="D596" s="759"/>
      <c r="E596" s="760"/>
      <c r="F596" s="493"/>
      <c r="G596" s="493"/>
      <c r="H596" s="493"/>
      <c r="I596" s="493"/>
      <c r="J596" s="493"/>
      <c r="K596" s="493"/>
      <c r="L596" s="493"/>
      <c r="M596" s="493"/>
      <c r="N596" s="493"/>
      <c r="O596" s="493"/>
      <c r="P596" s="493"/>
      <c r="Q596" s="493"/>
      <c r="R596" s="493"/>
      <c r="S596" s="493"/>
      <c r="T596" s="493"/>
      <c r="U596" s="493"/>
      <c r="V596" s="466"/>
      <c r="W596" s="467"/>
      <c r="X596" s="468"/>
      <c r="Y596" s="466"/>
      <c r="Z596" s="467"/>
      <c r="AA596" s="467"/>
      <c r="AB596" s="468"/>
      <c r="AC596" s="828"/>
      <c r="AD596" s="829"/>
      <c r="AE596" s="829"/>
      <c r="AF596" s="830"/>
      <c r="AG596" s="491"/>
      <c r="AH596" s="491"/>
      <c r="AI596" s="491"/>
      <c r="AJ596" s="491"/>
      <c r="AK596" s="491"/>
      <c r="AL596" s="491"/>
      <c r="AM596" s="491"/>
      <c r="AN596" s="491"/>
      <c r="AO596" s="491"/>
      <c r="AP596" s="491"/>
      <c r="AQ596" s="491"/>
      <c r="AR596" s="492"/>
    </row>
    <row r="597" spans="3:44" ht="18" customHeight="1">
      <c r="C597" s="758"/>
      <c r="D597" s="759"/>
      <c r="E597" s="760"/>
      <c r="F597" s="493"/>
      <c r="G597" s="493"/>
      <c r="H597" s="493"/>
      <c r="I597" s="493"/>
      <c r="J597" s="493"/>
      <c r="K597" s="493"/>
      <c r="L597" s="493"/>
      <c r="M597" s="493"/>
      <c r="N597" s="493"/>
      <c r="O597" s="493"/>
      <c r="P597" s="493"/>
      <c r="Q597" s="493"/>
      <c r="R597" s="493"/>
      <c r="S597" s="493"/>
      <c r="T597" s="493"/>
      <c r="U597" s="493"/>
      <c r="V597" s="466"/>
      <c r="W597" s="467"/>
      <c r="X597" s="468"/>
      <c r="Y597" s="466"/>
      <c r="Z597" s="467"/>
      <c r="AA597" s="467"/>
      <c r="AB597" s="468"/>
      <c r="AC597" s="828"/>
      <c r="AD597" s="829"/>
      <c r="AE597" s="829"/>
      <c r="AF597" s="830"/>
      <c r="AG597" s="491"/>
      <c r="AH597" s="491"/>
      <c r="AI597" s="491"/>
      <c r="AJ597" s="491"/>
      <c r="AK597" s="491"/>
      <c r="AL597" s="491"/>
      <c r="AM597" s="491"/>
      <c r="AN597" s="491"/>
      <c r="AO597" s="491"/>
      <c r="AP597" s="491"/>
      <c r="AQ597" s="491"/>
      <c r="AR597" s="492"/>
    </row>
    <row r="598" spans="3:44" ht="18" customHeight="1">
      <c r="C598" s="758"/>
      <c r="D598" s="759"/>
      <c r="E598" s="760"/>
      <c r="F598" s="493"/>
      <c r="G598" s="493"/>
      <c r="H598" s="493"/>
      <c r="I598" s="493"/>
      <c r="J598" s="493"/>
      <c r="K598" s="493"/>
      <c r="L598" s="493"/>
      <c r="M598" s="493"/>
      <c r="N598" s="493"/>
      <c r="O598" s="493"/>
      <c r="P598" s="493"/>
      <c r="Q598" s="493"/>
      <c r="R598" s="493"/>
      <c r="S598" s="493"/>
      <c r="T598" s="493"/>
      <c r="U598" s="493"/>
      <c r="V598" s="466"/>
      <c r="W598" s="467"/>
      <c r="X598" s="468"/>
      <c r="Y598" s="466"/>
      <c r="Z598" s="467"/>
      <c r="AA598" s="467"/>
      <c r="AB598" s="468"/>
      <c r="AC598" s="828"/>
      <c r="AD598" s="829"/>
      <c r="AE598" s="829"/>
      <c r="AF598" s="830"/>
      <c r="AG598" s="491"/>
      <c r="AH598" s="491"/>
      <c r="AI598" s="491"/>
      <c r="AJ598" s="491"/>
      <c r="AK598" s="491"/>
      <c r="AL598" s="491"/>
      <c r="AM598" s="491"/>
      <c r="AN598" s="491"/>
      <c r="AO598" s="491"/>
      <c r="AP598" s="491"/>
      <c r="AQ598" s="491"/>
      <c r="AR598" s="492"/>
    </row>
    <row r="599" spans="3:44" ht="18" customHeight="1">
      <c r="C599" s="758"/>
      <c r="D599" s="759"/>
      <c r="E599" s="760"/>
      <c r="F599" s="796"/>
      <c r="G599" s="797"/>
      <c r="H599" s="797"/>
      <c r="I599" s="797"/>
      <c r="J599" s="797"/>
      <c r="K599" s="797"/>
      <c r="L599" s="797"/>
      <c r="M599" s="797"/>
      <c r="N599" s="797"/>
      <c r="O599" s="797"/>
      <c r="P599" s="797"/>
      <c r="Q599" s="797"/>
      <c r="R599" s="797"/>
      <c r="S599" s="797"/>
      <c r="T599" s="797"/>
      <c r="U599" s="798"/>
      <c r="V599" s="466"/>
      <c r="W599" s="467"/>
      <c r="X599" s="468"/>
      <c r="Y599" s="466"/>
      <c r="Z599" s="467"/>
      <c r="AA599" s="467"/>
      <c r="AB599" s="468"/>
      <c r="AC599" s="828"/>
      <c r="AD599" s="829"/>
      <c r="AE599" s="829"/>
      <c r="AF599" s="830"/>
      <c r="AG599" s="466"/>
      <c r="AH599" s="467"/>
      <c r="AI599" s="467"/>
      <c r="AJ599" s="468"/>
      <c r="AK599" s="466"/>
      <c r="AL599" s="467"/>
      <c r="AM599" s="467"/>
      <c r="AN599" s="468"/>
      <c r="AO599" s="466"/>
      <c r="AP599" s="467"/>
      <c r="AQ599" s="467"/>
      <c r="AR599" s="823"/>
    </row>
    <row r="600" spans="3:44" ht="18" customHeight="1">
      <c r="C600" s="758"/>
      <c r="D600" s="759"/>
      <c r="E600" s="760"/>
      <c r="F600" s="796"/>
      <c r="G600" s="797"/>
      <c r="H600" s="797"/>
      <c r="I600" s="797"/>
      <c r="J600" s="797"/>
      <c r="K600" s="797"/>
      <c r="L600" s="797"/>
      <c r="M600" s="797"/>
      <c r="N600" s="797"/>
      <c r="O600" s="797"/>
      <c r="P600" s="797"/>
      <c r="Q600" s="797"/>
      <c r="R600" s="797"/>
      <c r="S600" s="797"/>
      <c r="T600" s="797"/>
      <c r="U600" s="798"/>
      <c r="V600" s="466"/>
      <c r="W600" s="467"/>
      <c r="X600" s="468"/>
      <c r="Y600" s="466"/>
      <c r="Z600" s="467"/>
      <c r="AA600" s="467"/>
      <c r="AB600" s="468"/>
      <c r="AC600" s="828"/>
      <c r="AD600" s="829"/>
      <c r="AE600" s="829"/>
      <c r="AF600" s="830"/>
      <c r="AG600" s="466"/>
      <c r="AH600" s="467"/>
      <c r="AI600" s="467"/>
      <c r="AJ600" s="468"/>
      <c r="AK600" s="466"/>
      <c r="AL600" s="467"/>
      <c r="AM600" s="467"/>
      <c r="AN600" s="468"/>
      <c r="AO600" s="466"/>
      <c r="AP600" s="467"/>
      <c r="AQ600" s="467"/>
      <c r="AR600" s="823"/>
    </row>
    <row r="601" spans="3:44" ht="18" customHeight="1">
      <c r="C601" s="743"/>
      <c r="D601" s="744"/>
      <c r="E601" s="744"/>
      <c r="F601" s="744"/>
      <c r="G601" s="744"/>
      <c r="H601" s="744"/>
      <c r="I601" s="744"/>
      <c r="J601" s="744"/>
      <c r="K601" s="744"/>
      <c r="L601" s="744"/>
      <c r="M601" s="744"/>
      <c r="N601" s="744"/>
      <c r="O601" s="744"/>
      <c r="P601" s="744"/>
      <c r="Q601" s="744"/>
      <c r="R601" s="744"/>
      <c r="S601" s="744"/>
      <c r="T601" s="744"/>
      <c r="U601" s="744"/>
      <c r="V601" s="744"/>
      <c r="W601" s="744"/>
      <c r="X601" s="824"/>
      <c r="Y601" s="825" t="s">
        <v>74</v>
      </c>
      <c r="Z601" s="826"/>
      <c r="AA601" s="826"/>
      <c r="AB601" s="826"/>
      <c r="AC601" s="826"/>
      <c r="AD601" s="826"/>
      <c r="AE601" s="826"/>
      <c r="AF601" s="826"/>
      <c r="AG601" s="826"/>
      <c r="AH601" s="826"/>
      <c r="AI601" s="826"/>
      <c r="AJ601" s="826"/>
      <c r="AK601" s="826"/>
      <c r="AL601" s="826"/>
      <c r="AM601" s="826"/>
      <c r="AN601" s="827"/>
      <c r="AO601" s="477">
        <f>SUM(AO593:AR600)</f>
        <v>3.11</v>
      </c>
      <c r="AP601" s="746"/>
      <c r="AQ601" s="746"/>
      <c r="AR601" s="747"/>
    </row>
    <row r="603" spans="3:44" ht="18" customHeight="1">
      <c r="C603" s="794" t="s">
        <v>43</v>
      </c>
      <c r="D603" s="774"/>
      <c r="E603" s="775"/>
      <c r="F603" s="773" t="s">
        <v>75</v>
      </c>
      <c r="G603" s="774"/>
      <c r="H603" s="774"/>
      <c r="I603" s="774"/>
      <c r="J603" s="774"/>
      <c r="K603" s="774"/>
      <c r="L603" s="774"/>
      <c r="M603" s="774"/>
      <c r="N603" s="774"/>
      <c r="O603" s="774"/>
      <c r="P603" s="774"/>
      <c r="Q603" s="774"/>
      <c r="R603" s="774"/>
      <c r="S603" s="774"/>
      <c r="T603" s="774"/>
      <c r="U603" s="774"/>
      <c r="V603" s="774"/>
      <c r="W603" s="774"/>
      <c r="X603" s="774"/>
      <c r="Y603" s="774"/>
      <c r="Z603" s="774"/>
      <c r="AA603" s="774"/>
      <c r="AB603" s="775"/>
      <c r="AC603" s="773" t="s">
        <v>76</v>
      </c>
      <c r="AD603" s="774"/>
      <c r="AE603" s="774"/>
      <c r="AF603" s="775"/>
      <c r="AG603" s="773" t="s">
        <v>249</v>
      </c>
      <c r="AH603" s="774"/>
      <c r="AI603" s="774"/>
      <c r="AJ603" s="775"/>
      <c r="AK603" s="773" t="s">
        <v>77</v>
      </c>
      <c r="AL603" s="774"/>
      <c r="AM603" s="774"/>
      <c r="AN603" s="775"/>
      <c r="AO603" s="773" t="s">
        <v>71</v>
      </c>
      <c r="AP603" s="774"/>
      <c r="AQ603" s="774"/>
      <c r="AR603" s="779"/>
    </row>
    <row r="604" spans="3:44" ht="18" customHeight="1">
      <c r="C604" s="795"/>
      <c r="D604" s="777"/>
      <c r="E604" s="778"/>
      <c r="F604" s="776"/>
      <c r="G604" s="777"/>
      <c r="H604" s="777"/>
      <c r="I604" s="777"/>
      <c r="J604" s="777"/>
      <c r="K604" s="777"/>
      <c r="L604" s="777"/>
      <c r="M604" s="777"/>
      <c r="N604" s="777"/>
      <c r="O604" s="777"/>
      <c r="P604" s="777"/>
      <c r="Q604" s="777"/>
      <c r="R604" s="777"/>
      <c r="S604" s="777"/>
      <c r="T604" s="777"/>
      <c r="U604" s="777"/>
      <c r="V604" s="777"/>
      <c r="W604" s="777"/>
      <c r="X604" s="777"/>
      <c r="Y604" s="777"/>
      <c r="Z604" s="777"/>
      <c r="AA604" s="777"/>
      <c r="AB604" s="778"/>
      <c r="AC604" s="776"/>
      <c r="AD604" s="777"/>
      <c r="AE604" s="777"/>
      <c r="AF604" s="778"/>
      <c r="AG604" s="776"/>
      <c r="AH604" s="777"/>
      <c r="AI604" s="777"/>
      <c r="AJ604" s="778"/>
      <c r="AK604" s="776"/>
      <c r="AL604" s="777"/>
      <c r="AM604" s="777"/>
      <c r="AN604" s="778"/>
      <c r="AO604" s="776"/>
      <c r="AP604" s="777"/>
      <c r="AQ604" s="777"/>
      <c r="AR604" s="780"/>
    </row>
    <row r="605" spans="3:44" ht="18" customHeight="1">
      <c r="C605" s="781" t="s">
        <v>940</v>
      </c>
      <c r="D605" s="782"/>
      <c r="E605" s="783"/>
      <c r="F605" s="493" t="s">
        <v>105</v>
      </c>
      <c r="G605" s="493"/>
      <c r="H605" s="493"/>
      <c r="I605" s="493"/>
      <c r="J605" s="493"/>
      <c r="K605" s="493"/>
      <c r="L605" s="493"/>
      <c r="M605" s="493"/>
      <c r="N605" s="493"/>
      <c r="O605" s="493"/>
      <c r="P605" s="493"/>
      <c r="Q605" s="493"/>
      <c r="R605" s="493"/>
      <c r="S605" s="493"/>
      <c r="T605" s="493"/>
      <c r="U605" s="493"/>
      <c r="V605" s="493"/>
      <c r="W605" s="493"/>
      <c r="X605" s="493"/>
      <c r="Y605" s="493"/>
      <c r="Z605" s="493"/>
      <c r="AA605" s="493"/>
      <c r="AB605" s="493"/>
      <c r="AC605" s="770"/>
      <c r="AD605" s="771"/>
      <c r="AE605" s="771"/>
      <c r="AF605" s="790"/>
      <c r="AG605" s="770">
        <v>1</v>
      </c>
      <c r="AH605" s="771"/>
      <c r="AI605" s="771"/>
      <c r="AJ605" s="790"/>
      <c r="AK605" s="449">
        <f>VLOOKUP(C605,[4]MÃODEOBRA!A$1:D$65536,4,FALSE)</f>
        <v>22.98488</v>
      </c>
      <c r="AL605" s="449"/>
      <c r="AM605" s="449"/>
      <c r="AN605" s="449"/>
      <c r="AO605" s="491">
        <f>ROUND(AG605*AK605,2)</f>
        <v>22.98</v>
      </c>
      <c r="AP605" s="491"/>
      <c r="AQ605" s="491"/>
      <c r="AR605" s="492"/>
    </row>
    <row r="606" spans="3:44" ht="18" customHeight="1">
      <c r="C606" s="758" t="s">
        <v>1380</v>
      </c>
      <c r="D606" s="759"/>
      <c r="E606" s="760"/>
      <c r="F606" s="493" t="s">
        <v>469</v>
      </c>
      <c r="G606" s="493"/>
      <c r="H606" s="493"/>
      <c r="I606" s="493"/>
      <c r="J606" s="493"/>
      <c r="K606" s="493"/>
      <c r="L606" s="493"/>
      <c r="M606" s="493"/>
      <c r="N606" s="493"/>
      <c r="O606" s="493"/>
      <c r="P606" s="493"/>
      <c r="Q606" s="493"/>
      <c r="R606" s="493"/>
      <c r="S606" s="493"/>
      <c r="T606" s="493"/>
      <c r="U606" s="493"/>
      <c r="V606" s="493"/>
      <c r="W606" s="493"/>
      <c r="X606" s="493"/>
      <c r="Y606" s="493"/>
      <c r="Z606" s="493"/>
      <c r="AA606" s="493"/>
      <c r="AB606" s="493"/>
      <c r="AC606" s="740"/>
      <c r="AD606" s="741"/>
      <c r="AE606" s="741"/>
      <c r="AF606" s="757"/>
      <c r="AG606" s="740">
        <v>1</v>
      </c>
      <c r="AH606" s="741"/>
      <c r="AI606" s="741"/>
      <c r="AJ606" s="757"/>
      <c r="AK606" s="449">
        <f>VLOOKUP(C606,[4]MÃODEOBRA!A$1:D$65536,4,FALSE)</f>
        <v>11.156079999999999</v>
      </c>
      <c r="AL606" s="449"/>
      <c r="AM606" s="449"/>
      <c r="AN606" s="449"/>
      <c r="AO606" s="491">
        <f>ROUND(AG606*AK606,2)</f>
        <v>11.16</v>
      </c>
      <c r="AP606" s="491"/>
      <c r="AQ606" s="491"/>
      <c r="AR606" s="492"/>
    </row>
    <row r="607" spans="3:44" ht="18" customHeight="1">
      <c r="C607" s="758" t="s">
        <v>943</v>
      </c>
      <c r="D607" s="759"/>
      <c r="E607" s="760"/>
      <c r="F607" s="796" t="s">
        <v>128</v>
      </c>
      <c r="G607" s="797"/>
      <c r="H607" s="797"/>
      <c r="I607" s="797"/>
      <c r="J607" s="797"/>
      <c r="K607" s="797"/>
      <c r="L607" s="797"/>
      <c r="M607" s="797"/>
      <c r="N607" s="797"/>
      <c r="O607" s="797"/>
      <c r="P607" s="797"/>
      <c r="Q607" s="797"/>
      <c r="R607" s="797"/>
      <c r="S607" s="797"/>
      <c r="T607" s="797"/>
      <c r="U607" s="797"/>
      <c r="V607" s="797"/>
      <c r="W607" s="797"/>
      <c r="X607" s="797"/>
      <c r="Y607" s="797"/>
      <c r="Z607" s="797"/>
      <c r="AA607" s="797"/>
      <c r="AB607" s="798"/>
      <c r="AC607" s="740"/>
      <c r="AD607" s="741"/>
      <c r="AE607" s="741"/>
      <c r="AF607" s="757"/>
      <c r="AG607" s="740">
        <v>2</v>
      </c>
      <c r="AH607" s="741"/>
      <c r="AI607" s="741"/>
      <c r="AJ607" s="757"/>
      <c r="AK607" s="449">
        <f>VLOOKUP(C607,[4]MÃODEOBRA!A$1:D$65536,4,FALSE)</f>
        <v>8.6333500000000001</v>
      </c>
      <c r="AL607" s="449"/>
      <c r="AM607" s="449"/>
      <c r="AN607" s="449"/>
      <c r="AO607" s="491">
        <f>ROUND(AG607*AK607,2)</f>
        <v>17.27</v>
      </c>
      <c r="AP607" s="491"/>
      <c r="AQ607" s="491"/>
      <c r="AR607" s="492"/>
    </row>
    <row r="608" spans="3:44" ht="18" customHeight="1">
      <c r="C608" s="758"/>
      <c r="D608" s="759"/>
      <c r="E608" s="760"/>
      <c r="F608" s="796"/>
      <c r="G608" s="797"/>
      <c r="H608" s="797"/>
      <c r="I608" s="797"/>
      <c r="J608" s="797"/>
      <c r="K608" s="797"/>
      <c r="L608" s="797"/>
      <c r="M608" s="797"/>
      <c r="N608" s="797"/>
      <c r="O608" s="797"/>
      <c r="P608" s="797"/>
      <c r="Q608" s="797"/>
      <c r="R608" s="797"/>
      <c r="S608" s="797"/>
      <c r="T608" s="797"/>
      <c r="U608" s="797"/>
      <c r="V608" s="797"/>
      <c r="W608" s="797"/>
      <c r="X608" s="797"/>
      <c r="Y608" s="797"/>
      <c r="Z608" s="797"/>
      <c r="AA608" s="797"/>
      <c r="AB608" s="798"/>
      <c r="AC608" s="740"/>
      <c r="AD608" s="741"/>
      <c r="AE608" s="741"/>
      <c r="AF608" s="757"/>
      <c r="AG608" s="740"/>
      <c r="AH608" s="741"/>
      <c r="AI608" s="741"/>
      <c r="AJ608" s="757"/>
      <c r="AK608" s="740"/>
      <c r="AL608" s="741"/>
      <c r="AM608" s="741"/>
      <c r="AN608" s="757"/>
      <c r="AO608" s="466"/>
      <c r="AP608" s="467"/>
      <c r="AQ608" s="467"/>
      <c r="AR608" s="823"/>
    </row>
    <row r="609" spans="3:44" ht="18" customHeight="1">
      <c r="C609" s="758"/>
      <c r="D609" s="759"/>
      <c r="E609" s="760"/>
      <c r="F609" s="796"/>
      <c r="G609" s="797"/>
      <c r="H609" s="797"/>
      <c r="I609" s="797"/>
      <c r="J609" s="797"/>
      <c r="K609" s="797"/>
      <c r="L609" s="797"/>
      <c r="M609" s="797"/>
      <c r="N609" s="797"/>
      <c r="O609" s="797"/>
      <c r="P609" s="797"/>
      <c r="Q609" s="797"/>
      <c r="R609" s="797"/>
      <c r="S609" s="797"/>
      <c r="T609" s="797"/>
      <c r="U609" s="797"/>
      <c r="V609" s="797"/>
      <c r="W609" s="797"/>
      <c r="X609" s="797"/>
      <c r="Y609" s="797"/>
      <c r="Z609" s="797"/>
      <c r="AA609" s="797"/>
      <c r="AB609" s="798"/>
      <c r="AC609" s="740"/>
      <c r="AD609" s="741"/>
      <c r="AE609" s="741"/>
      <c r="AF609" s="757"/>
      <c r="AG609" s="740"/>
      <c r="AH609" s="741"/>
      <c r="AI609" s="741"/>
      <c r="AJ609" s="757"/>
      <c r="AK609" s="740"/>
      <c r="AL609" s="741"/>
      <c r="AM609" s="741"/>
      <c r="AN609" s="757"/>
      <c r="AO609" s="466"/>
      <c r="AP609" s="467"/>
      <c r="AQ609" s="467"/>
      <c r="AR609" s="823"/>
    </row>
    <row r="610" spans="3:44" ht="18" customHeight="1">
      <c r="C610" s="758"/>
      <c r="D610" s="759"/>
      <c r="E610" s="760"/>
      <c r="F610" s="796"/>
      <c r="G610" s="797"/>
      <c r="H610" s="797"/>
      <c r="I610" s="797"/>
      <c r="J610" s="797"/>
      <c r="K610" s="797"/>
      <c r="L610" s="797"/>
      <c r="M610" s="797"/>
      <c r="N610" s="797"/>
      <c r="O610" s="797"/>
      <c r="P610" s="797"/>
      <c r="Q610" s="797"/>
      <c r="R610" s="797"/>
      <c r="S610" s="797"/>
      <c r="T610" s="797"/>
      <c r="U610" s="797"/>
      <c r="V610" s="797"/>
      <c r="W610" s="797"/>
      <c r="X610" s="797"/>
      <c r="Y610" s="797"/>
      <c r="Z610" s="797"/>
      <c r="AA610" s="797"/>
      <c r="AB610" s="798"/>
      <c r="AC610" s="740"/>
      <c r="AD610" s="741"/>
      <c r="AE610" s="741"/>
      <c r="AF610" s="757"/>
      <c r="AG610" s="740"/>
      <c r="AH610" s="741"/>
      <c r="AI610" s="741"/>
      <c r="AJ610" s="757"/>
      <c r="AK610" s="740"/>
      <c r="AL610" s="741"/>
      <c r="AM610" s="741"/>
      <c r="AN610" s="757"/>
      <c r="AO610" s="466"/>
      <c r="AP610" s="467"/>
      <c r="AQ610" s="467"/>
      <c r="AR610" s="823"/>
    </row>
    <row r="611" spans="3:44" ht="18" customHeight="1">
      <c r="C611" s="758"/>
      <c r="D611" s="759"/>
      <c r="E611" s="760"/>
      <c r="F611" s="796"/>
      <c r="G611" s="797"/>
      <c r="H611" s="797"/>
      <c r="I611" s="797"/>
      <c r="J611" s="797"/>
      <c r="K611" s="797"/>
      <c r="L611" s="797"/>
      <c r="M611" s="797"/>
      <c r="N611" s="797"/>
      <c r="O611" s="797"/>
      <c r="P611" s="797"/>
      <c r="Q611" s="797"/>
      <c r="R611" s="797"/>
      <c r="S611" s="797"/>
      <c r="T611" s="797"/>
      <c r="U611" s="797"/>
      <c r="V611" s="797"/>
      <c r="W611" s="797"/>
      <c r="X611" s="797"/>
      <c r="Y611" s="797"/>
      <c r="Z611" s="797"/>
      <c r="AA611" s="797"/>
      <c r="AB611" s="798"/>
      <c r="AC611" s="740"/>
      <c r="AD611" s="741"/>
      <c r="AE611" s="741"/>
      <c r="AF611" s="757"/>
      <c r="AG611" s="740"/>
      <c r="AH611" s="741"/>
      <c r="AI611" s="741"/>
      <c r="AJ611" s="757"/>
      <c r="AK611" s="740"/>
      <c r="AL611" s="741"/>
      <c r="AM611" s="741"/>
      <c r="AN611" s="757"/>
      <c r="AO611" s="466"/>
      <c r="AP611" s="467"/>
      <c r="AQ611" s="467"/>
      <c r="AR611" s="823"/>
    </row>
    <row r="612" spans="3:44" ht="18" customHeight="1">
      <c r="C612" s="758"/>
      <c r="D612" s="759"/>
      <c r="E612" s="760"/>
      <c r="F612" s="796"/>
      <c r="G612" s="797"/>
      <c r="H612" s="797"/>
      <c r="I612" s="797"/>
      <c r="J612" s="797"/>
      <c r="K612" s="797"/>
      <c r="L612" s="797"/>
      <c r="M612" s="797"/>
      <c r="N612" s="797"/>
      <c r="O612" s="797"/>
      <c r="P612" s="797"/>
      <c r="Q612" s="797"/>
      <c r="R612" s="797"/>
      <c r="S612" s="797"/>
      <c r="T612" s="797"/>
      <c r="U612" s="797"/>
      <c r="V612" s="797"/>
      <c r="W612" s="797"/>
      <c r="X612" s="797"/>
      <c r="Y612" s="797"/>
      <c r="Z612" s="797"/>
      <c r="AA612" s="797"/>
      <c r="AB612" s="798"/>
      <c r="AC612" s="740"/>
      <c r="AD612" s="741"/>
      <c r="AE612" s="741"/>
      <c r="AF612" s="757"/>
      <c r="AG612" s="740"/>
      <c r="AH612" s="741"/>
      <c r="AI612" s="741"/>
      <c r="AJ612" s="757"/>
      <c r="AK612" s="740"/>
      <c r="AL612" s="741"/>
      <c r="AM612" s="741"/>
      <c r="AN612" s="757"/>
      <c r="AO612" s="466"/>
      <c r="AP612" s="467"/>
      <c r="AQ612" s="467"/>
      <c r="AR612" s="823"/>
    </row>
    <row r="613" spans="3:44" ht="18" customHeight="1">
      <c r="C613" s="814"/>
      <c r="D613" s="815"/>
      <c r="E613" s="815"/>
      <c r="F613" s="815"/>
      <c r="G613" s="815"/>
      <c r="H613" s="815"/>
      <c r="I613" s="815"/>
      <c r="J613" s="815"/>
      <c r="K613" s="815"/>
      <c r="L613" s="815"/>
      <c r="M613" s="815"/>
      <c r="N613" s="815"/>
      <c r="O613" s="815"/>
      <c r="P613" s="815"/>
      <c r="Q613" s="815"/>
      <c r="R613" s="815"/>
      <c r="S613" s="815"/>
      <c r="T613" s="815"/>
      <c r="U613" s="815"/>
      <c r="V613" s="815"/>
      <c r="W613" s="815"/>
      <c r="X613" s="815"/>
      <c r="Y613" s="816" t="s">
        <v>78</v>
      </c>
      <c r="Z613" s="816"/>
      <c r="AA613" s="816"/>
      <c r="AB613" s="816"/>
      <c r="AC613" s="816"/>
      <c r="AD613" s="816"/>
      <c r="AE613" s="816"/>
      <c r="AF613" s="483"/>
      <c r="AG613" s="817" t="s">
        <v>267</v>
      </c>
      <c r="AH613" s="818"/>
      <c r="AI613" s="818"/>
      <c r="AJ613" s="819"/>
      <c r="AK613" s="466">
        <f>SUM(AO605:AR612)</f>
        <v>51.41</v>
      </c>
      <c r="AL613" s="467"/>
      <c r="AM613" s="467"/>
      <c r="AN613" s="468"/>
      <c r="AO613" s="820">
        <f>ROUND(AG613*AK613,2)</f>
        <v>10.54</v>
      </c>
      <c r="AP613" s="821"/>
      <c r="AQ613" s="821"/>
      <c r="AR613" s="822"/>
    </row>
    <row r="614" spans="3:44" ht="18" customHeight="1">
      <c r="C614" s="743"/>
      <c r="D614" s="744"/>
      <c r="E614" s="744"/>
      <c r="F614" s="744"/>
      <c r="G614" s="744"/>
      <c r="H614" s="744"/>
      <c r="I614" s="744"/>
      <c r="J614" s="744"/>
      <c r="K614" s="744"/>
      <c r="L614" s="744"/>
      <c r="M614" s="744"/>
      <c r="N614" s="744"/>
      <c r="O614" s="744"/>
      <c r="P614" s="744"/>
      <c r="Q614" s="744"/>
      <c r="R614" s="744"/>
      <c r="S614" s="744"/>
      <c r="T614" s="744"/>
      <c r="U614" s="744"/>
      <c r="V614" s="744"/>
      <c r="W614" s="744"/>
      <c r="X614" s="744"/>
      <c r="Y614" s="745" t="s">
        <v>79</v>
      </c>
      <c r="Z614" s="745"/>
      <c r="AA614" s="745"/>
      <c r="AB614" s="745"/>
      <c r="AC614" s="745"/>
      <c r="AD614" s="745"/>
      <c r="AE614" s="745"/>
      <c r="AF614" s="745"/>
      <c r="AG614" s="745"/>
      <c r="AH614" s="745"/>
      <c r="AI614" s="745"/>
      <c r="AJ614" s="745"/>
      <c r="AK614" s="745"/>
      <c r="AL614" s="745"/>
      <c r="AM614" s="745"/>
      <c r="AN614" s="430"/>
      <c r="AO614" s="477">
        <f>SUM(AO605:AR613)</f>
        <v>61.949999999999996</v>
      </c>
      <c r="AP614" s="746"/>
      <c r="AQ614" s="746"/>
      <c r="AR614" s="747"/>
    </row>
    <row r="616" spans="3:44" ht="18" customHeight="1">
      <c r="C616" s="802"/>
      <c r="D616" s="803"/>
      <c r="E616" s="803"/>
      <c r="F616" s="803"/>
      <c r="G616" s="803"/>
      <c r="H616" s="803"/>
      <c r="I616" s="803"/>
      <c r="J616" s="803"/>
      <c r="K616" s="803"/>
      <c r="L616" s="803"/>
      <c r="M616" s="803"/>
      <c r="N616" s="803"/>
      <c r="O616" s="803"/>
      <c r="P616" s="803"/>
      <c r="Q616" s="803"/>
      <c r="R616" s="803"/>
      <c r="S616" s="803"/>
      <c r="T616" s="803"/>
      <c r="U616" s="803"/>
      <c r="V616" s="803"/>
      <c r="W616" s="803"/>
      <c r="X616" s="803"/>
      <c r="Y616" s="804" t="s">
        <v>80</v>
      </c>
      <c r="Z616" s="805"/>
      <c r="AA616" s="805"/>
      <c r="AB616" s="805"/>
      <c r="AC616" s="805"/>
      <c r="AD616" s="805"/>
      <c r="AE616" s="805"/>
      <c r="AF616" s="805"/>
      <c r="AG616" s="805"/>
      <c r="AH616" s="805"/>
      <c r="AI616" s="805"/>
      <c r="AJ616" s="805"/>
      <c r="AK616" s="805"/>
      <c r="AL616" s="805"/>
      <c r="AM616" s="805"/>
      <c r="AN616" s="806"/>
      <c r="AO616" s="807">
        <f>AO601+AO614</f>
        <v>65.06</v>
      </c>
      <c r="AP616" s="808"/>
      <c r="AQ616" s="808"/>
      <c r="AR616" s="809"/>
    </row>
    <row r="617" spans="3:44" ht="18" customHeight="1">
      <c r="C617" s="810" t="s">
        <v>81</v>
      </c>
      <c r="D617" s="745"/>
      <c r="E617" s="745"/>
      <c r="F617" s="745"/>
      <c r="G617" s="745"/>
      <c r="H617" s="745"/>
      <c r="I617" s="745"/>
      <c r="J617" s="745"/>
      <c r="K617" s="745"/>
      <c r="L617" s="745"/>
      <c r="M617" s="745"/>
      <c r="N617" s="745"/>
      <c r="O617" s="745"/>
      <c r="P617" s="430"/>
      <c r="Q617" s="477">
        <v>10</v>
      </c>
      <c r="R617" s="746"/>
      <c r="S617" s="746"/>
      <c r="T617" s="746"/>
      <c r="U617" s="746"/>
      <c r="V617" s="745" t="s">
        <v>246</v>
      </c>
      <c r="W617" s="745"/>
      <c r="X617" s="430"/>
      <c r="Y617" s="804" t="s">
        <v>82</v>
      </c>
      <c r="Z617" s="805"/>
      <c r="AA617" s="805"/>
      <c r="AB617" s="805"/>
      <c r="AC617" s="805"/>
      <c r="AD617" s="805"/>
      <c r="AE617" s="805"/>
      <c r="AF617" s="805"/>
      <c r="AG617" s="805"/>
      <c r="AH617" s="805"/>
      <c r="AI617" s="805"/>
      <c r="AJ617" s="805"/>
      <c r="AK617" s="805"/>
      <c r="AL617" s="805"/>
      <c r="AM617" s="805"/>
      <c r="AN617" s="806"/>
      <c r="AO617" s="811">
        <f>ROUND(AO616/Q617,2)</f>
        <v>6.51</v>
      </c>
      <c r="AP617" s="812"/>
      <c r="AQ617" s="812"/>
      <c r="AR617" s="813"/>
    </row>
    <row r="619" spans="3:44" ht="18" customHeight="1">
      <c r="C619" s="794" t="s">
        <v>43</v>
      </c>
      <c r="D619" s="774"/>
      <c r="E619" s="775"/>
      <c r="F619" s="773" t="s">
        <v>83</v>
      </c>
      <c r="G619" s="774"/>
      <c r="H619" s="774"/>
      <c r="I619" s="774"/>
      <c r="J619" s="774"/>
      <c r="K619" s="774"/>
      <c r="L619" s="774"/>
      <c r="M619" s="774"/>
      <c r="N619" s="774"/>
      <c r="O619" s="774"/>
      <c r="P619" s="774"/>
      <c r="Q619" s="774"/>
      <c r="R619" s="774"/>
      <c r="S619" s="774"/>
      <c r="T619" s="774"/>
      <c r="U619" s="774"/>
      <c r="V619" s="774"/>
      <c r="W619" s="774"/>
      <c r="X619" s="774"/>
      <c r="Y619" s="774"/>
      <c r="Z619" s="774"/>
      <c r="AA619" s="774"/>
      <c r="AB619" s="775"/>
      <c r="AC619" s="773" t="s">
        <v>84</v>
      </c>
      <c r="AD619" s="774"/>
      <c r="AE619" s="774"/>
      <c r="AF619" s="775"/>
      <c r="AG619" s="773" t="s">
        <v>85</v>
      </c>
      <c r="AH619" s="774"/>
      <c r="AI619" s="774"/>
      <c r="AJ619" s="775"/>
      <c r="AK619" s="773" t="s">
        <v>86</v>
      </c>
      <c r="AL619" s="774"/>
      <c r="AM619" s="774"/>
      <c r="AN619" s="775"/>
      <c r="AO619" s="773" t="s">
        <v>87</v>
      </c>
      <c r="AP619" s="774"/>
      <c r="AQ619" s="774"/>
      <c r="AR619" s="779"/>
    </row>
    <row r="620" spans="3:44" ht="18" customHeight="1">
      <c r="C620" s="795"/>
      <c r="D620" s="777"/>
      <c r="E620" s="778"/>
      <c r="F620" s="776"/>
      <c r="G620" s="777"/>
      <c r="H620" s="777"/>
      <c r="I620" s="777"/>
      <c r="J620" s="777"/>
      <c r="K620" s="777"/>
      <c r="L620" s="777"/>
      <c r="M620" s="777"/>
      <c r="N620" s="777"/>
      <c r="O620" s="777"/>
      <c r="P620" s="777"/>
      <c r="Q620" s="777"/>
      <c r="R620" s="777"/>
      <c r="S620" s="777"/>
      <c r="T620" s="777"/>
      <c r="U620" s="777"/>
      <c r="V620" s="777"/>
      <c r="W620" s="777"/>
      <c r="X620" s="777"/>
      <c r="Y620" s="777"/>
      <c r="Z620" s="777"/>
      <c r="AA620" s="777"/>
      <c r="AB620" s="778"/>
      <c r="AC620" s="776"/>
      <c r="AD620" s="777"/>
      <c r="AE620" s="777"/>
      <c r="AF620" s="778"/>
      <c r="AG620" s="776"/>
      <c r="AH620" s="777"/>
      <c r="AI620" s="777"/>
      <c r="AJ620" s="778"/>
      <c r="AK620" s="776"/>
      <c r="AL620" s="777"/>
      <c r="AM620" s="777"/>
      <c r="AN620" s="778"/>
      <c r="AO620" s="776"/>
      <c r="AP620" s="777"/>
      <c r="AQ620" s="777"/>
      <c r="AR620" s="780"/>
    </row>
    <row r="621" spans="3:44" ht="18" customHeight="1">
      <c r="C621" s="781" t="s">
        <v>366</v>
      </c>
      <c r="D621" s="782"/>
      <c r="E621" s="783"/>
      <c r="F621" s="493" t="s">
        <v>676</v>
      </c>
      <c r="G621" s="493"/>
      <c r="H621" s="493"/>
      <c r="I621" s="493"/>
      <c r="J621" s="493"/>
      <c r="K621" s="493"/>
      <c r="L621" s="493"/>
      <c r="M621" s="493"/>
      <c r="N621" s="493"/>
      <c r="O621" s="493"/>
      <c r="P621" s="493"/>
      <c r="Q621" s="493"/>
      <c r="R621" s="493"/>
      <c r="S621" s="493"/>
      <c r="T621" s="493"/>
      <c r="U621" s="493"/>
      <c r="V621" s="493"/>
      <c r="W621" s="493"/>
      <c r="X621" s="493"/>
      <c r="Y621" s="493"/>
      <c r="Z621" s="493"/>
      <c r="AA621" s="493"/>
      <c r="AB621" s="493"/>
      <c r="AC621" s="471" t="s">
        <v>246</v>
      </c>
      <c r="AD621" s="803"/>
      <c r="AE621" s="803"/>
      <c r="AF621" s="871"/>
      <c r="AG621" s="491">
        <v>2.73</v>
      </c>
      <c r="AH621" s="491"/>
      <c r="AI621" s="491"/>
      <c r="AJ621" s="491"/>
      <c r="AK621" s="791">
        <v>1</v>
      </c>
      <c r="AL621" s="792"/>
      <c r="AM621" s="792"/>
      <c r="AN621" s="793"/>
      <c r="AO621" s="449">
        <f>ROUND(AG621*AK621,2)</f>
        <v>2.73</v>
      </c>
      <c r="AP621" s="449"/>
      <c r="AQ621" s="449"/>
      <c r="AR621" s="450"/>
    </row>
    <row r="622" spans="3:44" ht="18" customHeight="1">
      <c r="C622" s="758" t="s">
        <v>1382</v>
      </c>
      <c r="D622" s="759"/>
      <c r="E622" s="760"/>
      <c r="F622" s="796" t="s">
        <v>471</v>
      </c>
      <c r="G622" s="797"/>
      <c r="H622" s="797"/>
      <c r="I622" s="797"/>
      <c r="J622" s="797"/>
      <c r="K622" s="797"/>
      <c r="L622" s="797"/>
      <c r="M622" s="797"/>
      <c r="N622" s="797"/>
      <c r="O622" s="797"/>
      <c r="P622" s="797"/>
      <c r="Q622" s="797"/>
      <c r="R622" s="797"/>
      <c r="S622" s="797"/>
      <c r="T622" s="797"/>
      <c r="U622" s="797"/>
      <c r="V622" s="797"/>
      <c r="W622" s="797"/>
      <c r="X622" s="797"/>
      <c r="Y622" s="797"/>
      <c r="Z622" s="797"/>
      <c r="AA622" s="797"/>
      <c r="AB622" s="798"/>
      <c r="AC622" s="799" t="s">
        <v>246</v>
      </c>
      <c r="AD622" s="800"/>
      <c r="AE622" s="800"/>
      <c r="AF622" s="801"/>
      <c r="AG622" s="466">
        <f>VLOOKUP(C622,[4]MATERIAL!A$1:D$65536,4,FALSE)</f>
        <v>8.84</v>
      </c>
      <c r="AH622" s="467"/>
      <c r="AI622" s="467"/>
      <c r="AJ622" s="468"/>
      <c r="AK622" s="737">
        <v>0.15</v>
      </c>
      <c r="AL622" s="738"/>
      <c r="AM622" s="738"/>
      <c r="AN622" s="739"/>
      <c r="AO622" s="449">
        <f>ROUND(AG622*AK622,2)</f>
        <v>1.33</v>
      </c>
      <c r="AP622" s="449"/>
      <c r="AQ622" s="449"/>
      <c r="AR622" s="450"/>
    </row>
    <row r="623" spans="3:44" ht="18" customHeight="1">
      <c r="C623" s="758"/>
      <c r="D623" s="759"/>
      <c r="E623" s="760"/>
      <c r="F623" s="796"/>
      <c r="G623" s="797"/>
      <c r="H623" s="797"/>
      <c r="I623" s="797"/>
      <c r="J623" s="797"/>
      <c r="K623" s="797"/>
      <c r="L623" s="797"/>
      <c r="M623" s="797"/>
      <c r="N623" s="797"/>
      <c r="O623" s="797"/>
      <c r="P623" s="797"/>
      <c r="Q623" s="797"/>
      <c r="R623" s="797"/>
      <c r="S623" s="797"/>
      <c r="T623" s="797"/>
      <c r="U623" s="797"/>
      <c r="V623" s="797"/>
      <c r="W623" s="797"/>
      <c r="X623" s="797"/>
      <c r="Y623" s="797"/>
      <c r="Z623" s="797"/>
      <c r="AA623" s="797"/>
      <c r="AB623" s="798"/>
      <c r="AC623" s="799"/>
      <c r="AD623" s="800"/>
      <c r="AE623" s="800"/>
      <c r="AF623" s="801"/>
      <c r="AG623" s="466"/>
      <c r="AH623" s="467"/>
      <c r="AI623" s="467"/>
      <c r="AJ623" s="468"/>
      <c r="AK623" s="737"/>
      <c r="AL623" s="738"/>
      <c r="AM623" s="738"/>
      <c r="AN623" s="739"/>
      <c r="AO623" s="740"/>
      <c r="AP623" s="741"/>
      <c r="AQ623" s="741"/>
      <c r="AR623" s="742"/>
    </row>
    <row r="624" spans="3:44" ht="18" customHeight="1">
      <c r="C624" s="758"/>
      <c r="D624" s="759"/>
      <c r="E624" s="760"/>
      <c r="F624" s="796">
        <v>0</v>
      </c>
      <c r="G624" s="797"/>
      <c r="H624" s="797"/>
      <c r="I624" s="797"/>
      <c r="J624" s="797"/>
      <c r="K624" s="797"/>
      <c r="L624" s="797"/>
      <c r="M624" s="797"/>
      <c r="N624" s="797"/>
      <c r="O624" s="797"/>
      <c r="P624" s="797"/>
      <c r="Q624" s="797"/>
      <c r="R624" s="797"/>
      <c r="S624" s="797"/>
      <c r="T624" s="797"/>
      <c r="U624" s="797"/>
      <c r="V624" s="797"/>
      <c r="W624" s="797"/>
      <c r="X624" s="797"/>
      <c r="Y624" s="797"/>
      <c r="Z624" s="797"/>
      <c r="AA624" s="797"/>
      <c r="AB624" s="798"/>
      <c r="AC624" s="799"/>
      <c r="AD624" s="800"/>
      <c r="AE624" s="800"/>
      <c r="AF624" s="801"/>
      <c r="AG624" s="466"/>
      <c r="AH624" s="467"/>
      <c r="AI624" s="467"/>
      <c r="AJ624" s="468"/>
      <c r="AK624" s="737"/>
      <c r="AL624" s="738"/>
      <c r="AM624" s="738"/>
      <c r="AN624" s="739"/>
      <c r="AO624" s="740"/>
      <c r="AP624" s="741"/>
      <c r="AQ624" s="741"/>
      <c r="AR624" s="742"/>
    </row>
    <row r="625" spans="3:44" ht="18" customHeight="1">
      <c r="C625" s="758"/>
      <c r="D625" s="759"/>
      <c r="E625" s="760"/>
      <c r="F625" s="796">
        <v>0</v>
      </c>
      <c r="G625" s="797"/>
      <c r="H625" s="797"/>
      <c r="I625" s="797"/>
      <c r="J625" s="797"/>
      <c r="K625" s="797"/>
      <c r="L625" s="797"/>
      <c r="M625" s="797"/>
      <c r="N625" s="797"/>
      <c r="O625" s="797"/>
      <c r="P625" s="797"/>
      <c r="Q625" s="797"/>
      <c r="R625" s="797"/>
      <c r="S625" s="797"/>
      <c r="T625" s="797"/>
      <c r="U625" s="797"/>
      <c r="V625" s="797"/>
      <c r="W625" s="797"/>
      <c r="X625" s="797"/>
      <c r="Y625" s="797"/>
      <c r="Z625" s="797"/>
      <c r="AA625" s="797"/>
      <c r="AB625" s="798"/>
      <c r="AC625" s="799">
        <v>0</v>
      </c>
      <c r="AD625" s="800"/>
      <c r="AE625" s="800"/>
      <c r="AF625" s="801"/>
      <c r="AG625" s="466">
        <v>0</v>
      </c>
      <c r="AH625" s="467"/>
      <c r="AI625" s="467"/>
      <c r="AJ625" s="468"/>
      <c r="AK625" s="737"/>
      <c r="AL625" s="738"/>
      <c r="AM625" s="738"/>
      <c r="AN625" s="739"/>
      <c r="AO625" s="740">
        <f>ROUND(AG625*AK625,2)</f>
        <v>0</v>
      </c>
      <c r="AP625" s="741"/>
      <c r="AQ625" s="741"/>
      <c r="AR625" s="742"/>
    </row>
    <row r="626" spans="3:44" ht="18" customHeight="1">
      <c r="C626" s="758"/>
      <c r="D626" s="759"/>
      <c r="E626" s="760"/>
      <c r="F626" s="796"/>
      <c r="G626" s="797"/>
      <c r="H626" s="797"/>
      <c r="I626" s="797"/>
      <c r="J626" s="797"/>
      <c r="K626" s="797"/>
      <c r="L626" s="797"/>
      <c r="M626" s="797"/>
      <c r="N626" s="797"/>
      <c r="O626" s="797"/>
      <c r="P626" s="797"/>
      <c r="Q626" s="797"/>
      <c r="R626" s="797"/>
      <c r="S626" s="797"/>
      <c r="T626" s="797"/>
      <c r="U626" s="797"/>
      <c r="V626" s="797"/>
      <c r="W626" s="797"/>
      <c r="X626" s="797"/>
      <c r="Y626" s="797"/>
      <c r="Z626" s="797"/>
      <c r="AA626" s="797"/>
      <c r="AB626" s="798"/>
      <c r="AC626" s="799"/>
      <c r="AD626" s="800"/>
      <c r="AE626" s="800"/>
      <c r="AF626" s="801"/>
      <c r="AG626" s="466"/>
      <c r="AH626" s="467"/>
      <c r="AI626" s="467"/>
      <c r="AJ626" s="468"/>
      <c r="AK626" s="737"/>
      <c r="AL626" s="738"/>
      <c r="AM626" s="738"/>
      <c r="AN626" s="739"/>
      <c r="AO626" s="740"/>
      <c r="AP626" s="741"/>
      <c r="AQ626" s="741"/>
      <c r="AR626" s="742"/>
    </row>
    <row r="627" spans="3:44" ht="18" customHeight="1">
      <c r="C627" s="758"/>
      <c r="D627" s="759"/>
      <c r="E627" s="760"/>
      <c r="F627" s="796"/>
      <c r="G627" s="797"/>
      <c r="H627" s="797"/>
      <c r="I627" s="797"/>
      <c r="J627" s="797"/>
      <c r="K627" s="797"/>
      <c r="L627" s="797"/>
      <c r="M627" s="797"/>
      <c r="N627" s="797"/>
      <c r="O627" s="797"/>
      <c r="P627" s="797"/>
      <c r="Q627" s="797"/>
      <c r="R627" s="797"/>
      <c r="S627" s="797"/>
      <c r="T627" s="797"/>
      <c r="U627" s="797"/>
      <c r="V627" s="797"/>
      <c r="W627" s="797"/>
      <c r="X627" s="797"/>
      <c r="Y627" s="797"/>
      <c r="Z627" s="797"/>
      <c r="AA627" s="797"/>
      <c r="AB627" s="798"/>
      <c r="AC627" s="799"/>
      <c r="AD627" s="800"/>
      <c r="AE627" s="800"/>
      <c r="AF627" s="801"/>
      <c r="AG627" s="466"/>
      <c r="AH627" s="467"/>
      <c r="AI627" s="467"/>
      <c r="AJ627" s="468"/>
      <c r="AK627" s="737"/>
      <c r="AL627" s="738"/>
      <c r="AM627" s="738"/>
      <c r="AN627" s="739"/>
      <c r="AO627" s="740"/>
      <c r="AP627" s="741"/>
      <c r="AQ627" s="741"/>
      <c r="AR627" s="742"/>
    </row>
    <row r="628" spans="3:44" ht="18" customHeight="1">
      <c r="C628" s="758"/>
      <c r="D628" s="759"/>
      <c r="E628" s="760"/>
      <c r="F628" s="796"/>
      <c r="G628" s="797"/>
      <c r="H628" s="797"/>
      <c r="I628" s="797"/>
      <c r="J628" s="797"/>
      <c r="K628" s="797"/>
      <c r="L628" s="797"/>
      <c r="M628" s="797"/>
      <c r="N628" s="797"/>
      <c r="O628" s="797"/>
      <c r="P628" s="797"/>
      <c r="Q628" s="797"/>
      <c r="R628" s="797"/>
      <c r="S628" s="797"/>
      <c r="T628" s="797"/>
      <c r="U628" s="797"/>
      <c r="V628" s="797"/>
      <c r="W628" s="797"/>
      <c r="X628" s="797"/>
      <c r="Y628" s="797"/>
      <c r="Z628" s="797"/>
      <c r="AA628" s="797"/>
      <c r="AB628" s="798"/>
      <c r="AC628" s="799"/>
      <c r="AD628" s="800"/>
      <c r="AE628" s="800"/>
      <c r="AF628" s="801"/>
      <c r="AG628" s="466"/>
      <c r="AH628" s="467"/>
      <c r="AI628" s="467"/>
      <c r="AJ628" s="468"/>
      <c r="AK628" s="737"/>
      <c r="AL628" s="738"/>
      <c r="AM628" s="738"/>
      <c r="AN628" s="739"/>
      <c r="AO628" s="740"/>
      <c r="AP628" s="741"/>
      <c r="AQ628" s="741"/>
      <c r="AR628" s="742"/>
    </row>
    <row r="629" spans="3:44" ht="18" customHeight="1">
      <c r="C629" s="743"/>
      <c r="D629" s="744"/>
      <c r="E629" s="744"/>
      <c r="F629" s="744"/>
      <c r="G629" s="744"/>
      <c r="H629" s="744"/>
      <c r="I629" s="744"/>
      <c r="J629" s="744"/>
      <c r="K629" s="744"/>
      <c r="L629" s="744"/>
      <c r="M629" s="744"/>
      <c r="N629" s="744"/>
      <c r="O629" s="744"/>
      <c r="P629" s="744"/>
      <c r="Q629" s="744"/>
      <c r="R629" s="744"/>
      <c r="S629" s="744"/>
      <c r="T629" s="744"/>
      <c r="U629" s="744"/>
      <c r="V629" s="744"/>
      <c r="W629" s="744"/>
      <c r="X629" s="744"/>
      <c r="Y629" s="745" t="s">
        <v>88</v>
      </c>
      <c r="Z629" s="745"/>
      <c r="AA629" s="745"/>
      <c r="AB629" s="745"/>
      <c r="AC629" s="745"/>
      <c r="AD629" s="745"/>
      <c r="AE629" s="745"/>
      <c r="AF629" s="745"/>
      <c r="AG629" s="745"/>
      <c r="AH629" s="745"/>
      <c r="AI629" s="745"/>
      <c r="AJ629" s="745"/>
      <c r="AK629" s="745"/>
      <c r="AL629" s="745"/>
      <c r="AM629" s="745"/>
      <c r="AN629" s="430"/>
      <c r="AO629" s="477">
        <f>SUM(AO621:AR628)</f>
        <v>4.0600000000000005</v>
      </c>
      <c r="AP629" s="746"/>
      <c r="AQ629" s="746"/>
      <c r="AR629" s="747"/>
    </row>
    <row r="631" spans="3:44" ht="18" customHeight="1">
      <c r="C631" s="794" t="s">
        <v>43</v>
      </c>
      <c r="D631" s="774"/>
      <c r="E631" s="775"/>
      <c r="F631" s="773" t="s">
        <v>89</v>
      </c>
      <c r="G631" s="774"/>
      <c r="H631" s="774"/>
      <c r="I631" s="774"/>
      <c r="J631" s="774"/>
      <c r="K631" s="774"/>
      <c r="L631" s="774"/>
      <c r="M631" s="774"/>
      <c r="N631" s="774"/>
      <c r="O631" s="774"/>
      <c r="P631" s="774"/>
      <c r="Q631" s="774"/>
      <c r="R631" s="775"/>
      <c r="S631" s="773" t="s">
        <v>90</v>
      </c>
      <c r="T631" s="774"/>
      <c r="U631" s="775"/>
      <c r="V631" s="773" t="s">
        <v>91</v>
      </c>
      <c r="W631" s="774"/>
      <c r="X631" s="775"/>
      <c r="Y631" s="773" t="s">
        <v>92</v>
      </c>
      <c r="Z631" s="774"/>
      <c r="AA631" s="774"/>
      <c r="AB631" s="774"/>
      <c r="AC631" s="774"/>
      <c r="AD631" s="775"/>
      <c r="AE631" s="773" t="s">
        <v>93</v>
      </c>
      <c r="AF631" s="774"/>
      <c r="AG631" s="775"/>
      <c r="AH631" s="773" t="s">
        <v>94</v>
      </c>
      <c r="AI631" s="774"/>
      <c r="AJ631" s="775"/>
      <c r="AK631" s="773" t="s">
        <v>86</v>
      </c>
      <c r="AL631" s="774"/>
      <c r="AM631" s="774"/>
      <c r="AN631" s="775"/>
      <c r="AO631" s="773" t="s">
        <v>87</v>
      </c>
      <c r="AP631" s="774"/>
      <c r="AQ631" s="774"/>
      <c r="AR631" s="779"/>
    </row>
    <row r="632" spans="3:44" ht="18" customHeight="1">
      <c r="C632" s="795"/>
      <c r="D632" s="777"/>
      <c r="E632" s="778"/>
      <c r="F632" s="776"/>
      <c r="G632" s="777"/>
      <c r="H632" s="777"/>
      <c r="I632" s="777"/>
      <c r="J632" s="777"/>
      <c r="K632" s="777"/>
      <c r="L632" s="777"/>
      <c r="M632" s="777"/>
      <c r="N632" s="777"/>
      <c r="O632" s="777"/>
      <c r="P632" s="777"/>
      <c r="Q632" s="777"/>
      <c r="R632" s="778"/>
      <c r="S632" s="776"/>
      <c r="T632" s="777"/>
      <c r="U632" s="778"/>
      <c r="V632" s="776"/>
      <c r="W632" s="777"/>
      <c r="X632" s="778"/>
      <c r="Y632" s="776"/>
      <c r="Z632" s="777"/>
      <c r="AA632" s="777"/>
      <c r="AB632" s="777"/>
      <c r="AC632" s="777"/>
      <c r="AD632" s="778"/>
      <c r="AE632" s="776"/>
      <c r="AF632" s="777"/>
      <c r="AG632" s="778"/>
      <c r="AH632" s="776"/>
      <c r="AI632" s="777"/>
      <c r="AJ632" s="778"/>
      <c r="AK632" s="776"/>
      <c r="AL632" s="777"/>
      <c r="AM632" s="777"/>
      <c r="AN632" s="778"/>
      <c r="AO632" s="776"/>
      <c r="AP632" s="777"/>
      <c r="AQ632" s="777"/>
      <c r="AR632" s="780"/>
    </row>
    <row r="633" spans="3:44" ht="18" customHeight="1">
      <c r="C633" s="781"/>
      <c r="D633" s="782"/>
      <c r="E633" s="783"/>
      <c r="F633" s="457"/>
      <c r="G633" s="457"/>
      <c r="H633" s="457"/>
      <c r="I633" s="457"/>
      <c r="J633" s="457"/>
      <c r="K633" s="457"/>
      <c r="L633" s="457"/>
      <c r="M633" s="457"/>
      <c r="N633" s="457"/>
      <c r="O633" s="457"/>
      <c r="P633" s="457"/>
      <c r="Q633" s="457"/>
      <c r="R633" s="457"/>
      <c r="S633" s="784"/>
      <c r="T633" s="785"/>
      <c r="U633" s="786"/>
      <c r="V633" s="784"/>
      <c r="W633" s="785"/>
      <c r="X633" s="786"/>
      <c r="Y633" s="787"/>
      <c r="Z633" s="788"/>
      <c r="AA633" s="788"/>
      <c r="AB633" s="788"/>
      <c r="AC633" s="788"/>
      <c r="AD633" s="789"/>
      <c r="AE633" s="449"/>
      <c r="AF633" s="449"/>
      <c r="AG633" s="449"/>
      <c r="AH633" s="770"/>
      <c r="AI633" s="771"/>
      <c r="AJ633" s="790"/>
      <c r="AK633" s="791"/>
      <c r="AL633" s="792"/>
      <c r="AM633" s="792"/>
      <c r="AN633" s="793"/>
      <c r="AO633" s="770"/>
      <c r="AP633" s="771"/>
      <c r="AQ633" s="771"/>
      <c r="AR633" s="772"/>
    </row>
    <row r="634" spans="3:44" ht="18" customHeight="1">
      <c r="C634" s="758"/>
      <c r="D634" s="759"/>
      <c r="E634" s="760"/>
      <c r="F634" s="761"/>
      <c r="G634" s="762"/>
      <c r="H634" s="762"/>
      <c r="I634" s="762"/>
      <c r="J634" s="762"/>
      <c r="K634" s="762"/>
      <c r="L634" s="762"/>
      <c r="M634" s="762"/>
      <c r="N634" s="762"/>
      <c r="O634" s="762"/>
      <c r="P634" s="762"/>
      <c r="Q634" s="762"/>
      <c r="R634" s="763"/>
      <c r="S634" s="764"/>
      <c r="T634" s="765"/>
      <c r="U634" s="766"/>
      <c r="V634" s="764"/>
      <c r="W634" s="765"/>
      <c r="X634" s="766"/>
      <c r="Y634" s="767"/>
      <c r="Z634" s="768"/>
      <c r="AA634" s="768"/>
      <c r="AB634" s="768"/>
      <c r="AC634" s="768"/>
      <c r="AD634" s="769"/>
      <c r="AE634" s="740"/>
      <c r="AF634" s="741"/>
      <c r="AG634" s="757"/>
      <c r="AH634" s="740"/>
      <c r="AI634" s="741"/>
      <c r="AJ634" s="757"/>
      <c r="AK634" s="737"/>
      <c r="AL634" s="738"/>
      <c r="AM634" s="738"/>
      <c r="AN634" s="739"/>
      <c r="AO634" s="740">
        <f t="shared" ref="AO634:AO640" si="8">ROUND(AE634*AH634*AK634,2)</f>
        <v>0</v>
      </c>
      <c r="AP634" s="741"/>
      <c r="AQ634" s="741"/>
      <c r="AR634" s="742"/>
    </row>
    <row r="635" spans="3:44" ht="18" customHeight="1">
      <c r="C635" s="758"/>
      <c r="D635" s="759"/>
      <c r="E635" s="760"/>
      <c r="F635" s="761"/>
      <c r="G635" s="762"/>
      <c r="H635" s="762"/>
      <c r="I635" s="762"/>
      <c r="J635" s="762"/>
      <c r="K635" s="762"/>
      <c r="L635" s="762"/>
      <c r="M635" s="762"/>
      <c r="N635" s="762"/>
      <c r="O635" s="762"/>
      <c r="P635" s="762"/>
      <c r="Q635" s="762"/>
      <c r="R635" s="763"/>
      <c r="S635" s="764"/>
      <c r="T635" s="765"/>
      <c r="U635" s="766"/>
      <c r="V635" s="764"/>
      <c r="W635" s="765"/>
      <c r="X635" s="766"/>
      <c r="Y635" s="767"/>
      <c r="Z635" s="768"/>
      <c r="AA635" s="768"/>
      <c r="AB635" s="768"/>
      <c r="AC635" s="768"/>
      <c r="AD635" s="769"/>
      <c r="AE635" s="740"/>
      <c r="AF635" s="741"/>
      <c r="AG635" s="757"/>
      <c r="AH635" s="740"/>
      <c r="AI635" s="741"/>
      <c r="AJ635" s="757"/>
      <c r="AK635" s="737"/>
      <c r="AL635" s="738"/>
      <c r="AM635" s="738"/>
      <c r="AN635" s="739"/>
      <c r="AO635" s="740">
        <f t="shared" si="8"/>
        <v>0</v>
      </c>
      <c r="AP635" s="741"/>
      <c r="AQ635" s="741"/>
      <c r="AR635" s="742"/>
    </row>
    <row r="636" spans="3:44" ht="18" customHeight="1">
      <c r="C636" s="758"/>
      <c r="D636" s="759"/>
      <c r="E636" s="760"/>
      <c r="F636" s="761"/>
      <c r="G636" s="762"/>
      <c r="H636" s="762"/>
      <c r="I636" s="762"/>
      <c r="J636" s="762"/>
      <c r="K636" s="762"/>
      <c r="L636" s="762"/>
      <c r="M636" s="762"/>
      <c r="N636" s="762"/>
      <c r="O636" s="762"/>
      <c r="P636" s="762"/>
      <c r="Q636" s="762"/>
      <c r="R636" s="763"/>
      <c r="S636" s="764"/>
      <c r="T636" s="765"/>
      <c r="U636" s="766"/>
      <c r="V636" s="764"/>
      <c r="W636" s="765"/>
      <c r="X636" s="766"/>
      <c r="Y636" s="767"/>
      <c r="Z636" s="768"/>
      <c r="AA636" s="768"/>
      <c r="AB636" s="768"/>
      <c r="AC636" s="768"/>
      <c r="AD636" s="769"/>
      <c r="AE636" s="740"/>
      <c r="AF636" s="741"/>
      <c r="AG636" s="757"/>
      <c r="AH636" s="740"/>
      <c r="AI636" s="741"/>
      <c r="AJ636" s="757"/>
      <c r="AK636" s="737"/>
      <c r="AL636" s="738"/>
      <c r="AM636" s="738"/>
      <c r="AN636" s="739"/>
      <c r="AO636" s="740">
        <f t="shared" si="8"/>
        <v>0</v>
      </c>
      <c r="AP636" s="741"/>
      <c r="AQ636" s="741"/>
      <c r="AR636" s="742"/>
    </row>
    <row r="637" spans="3:44" ht="18" customHeight="1">
      <c r="C637" s="758"/>
      <c r="D637" s="759"/>
      <c r="E637" s="760"/>
      <c r="F637" s="761"/>
      <c r="G637" s="762"/>
      <c r="H637" s="762"/>
      <c r="I637" s="762"/>
      <c r="J637" s="762"/>
      <c r="K637" s="762"/>
      <c r="L637" s="762"/>
      <c r="M637" s="762"/>
      <c r="N637" s="762"/>
      <c r="O637" s="762"/>
      <c r="P637" s="762"/>
      <c r="Q637" s="762"/>
      <c r="R637" s="763"/>
      <c r="S637" s="764"/>
      <c r="T637" s="765"/>
      <c r="U637" s="766"/>
      <c r="V637" s="764"/>
      <c r="W637" s="765"/>
      <c r="X637" s="766"/>
      <c r="Y637" s="767"/>
      <c r="Z637" s="768"/>
      <c r="AA637" s="768"/>
      <c r="AB637" s="768"/>
      <c r="AC637" s="768"/>
      <c r="AD637" s="769"/>
      <c r="AE637" s="740"/>
      <c r="AF637" s="741"/>
      <c r="AG637" s="757"/>
      <c r="AH637" s="740"/>
      <c r="AI637" s="741"/>
      <c r="AJ637" s="757"/>
      <c r="AK637" s="737"/>
      <c r="AL637" s="738"/>
      <c r="AM637" s="738"/>
      <c r="AN637" s="739"/>
      <c r="AO637" s="740">
        <f t="shared" si="8"/>
        <v>0</v>
      </c>
      <c r="AP637" s="741"/>
      <c r="AQ637" s="741"/>
      <c r="AR637" s="742"/>
    </row>
    <row r="638" spans="3:44" ht="18" customHeight="1">
      <c r="C638" s="758"/>
      <c r="D638" s="759"/>
      <c r="E638" s="760"/>
      <c r="F638" s="761"/>
      <c r="G638" s="762"/>
      <c r="H638" s="762"/>
      <c r="I638" s="762"/>
      <c r="J638" s="762"/>
      <c r="K638" s="762"/>
      <c r="L638" s="762"/>
      <c r="M638" s="762"/>
      <c r="N638" s="762"/>
      <c r="O638" s="762"/>
      <c r="P638" s="762"/>
      <c r="Q638" s="762"/>
      <c r="R638" s="763"/>
      <c r="S638" s="764"/>
      <c r="T638" s="765"/>
      <c r="U638" s="766"/>
      <c r="V638" s="764"/>
      <c r="W638" s="765"/>
      <c r="X638" s="766"/>
      <c r="Y638" s="767"/>
      <c r="Z638" s="768"/>
      <c r="AA638" s="768"/>
      <c r="AB638" s="768"/>
      <c r="AC638" s="768"/>
      <c r="AD638" s="769"/>
      <c r="AE638" s="740"/>
      <c r="AF638" s="741"/>
      <c r="AG638" s="757"/>
      <c r="AH638" s="740"/>
      <c r="AI638" s="741"/>
      <c r="AJ638" s="757"/>
      <c r="AK638" s="737"/>
      <c r="AL638" s="738"/>
      <c r="AM638" s="738"/>
      <c r="AN638" s="739"/>
      <c r="AO638" s="740">
        <f t="shared" si="8"/>
        <v>0</v>
      </c>
      <c r="AP638" s="741"/>
      <c r="AQ638" s="741"/>
      <c r="AR638" s="742"/>
    </row>
    <row r="639" spans="3:44" ht="18" customHeight="1">
      <c r="C639" s="758"/>
      <c r="D639" s="759"/>
      <c r="E639" s="760"/>
      <c r="F639" s="761"/>
      <c r="G639" s="762"/>
      <c r="H639" s="762"/>
      <c r="I639" s="762"/>
      <c r="J639" s="762"/>
      <c r="K639" s="762"/>
      <c r="L639" s="762"/>
      <c r="M639" s="762"/>
      <c r="N639" s="762"/>
      <c r="O639" s="762"/>
      <c r="P639" s="762"/>
      <c r="Q639" s="762"/>
      <c r="R639" s="763"/>
      <c r="S639" s="764"/>
      <c r="T639" s="765"/>
      <c r="U639" s="766"/>
      <c r="V639" s="764"/>
      <c r="W639" s="765"/>
      <c r="X639" s="766"/>
      <c r="Y639" s="767"/>
      <c r="Z639" s="768"/>
      <c r="AA639" s="768"/>
      <c r="AB639" s="768"/>
      <c r="AC639" s="768"/>
      <c r="AD639" s="769"/>
      <c r="AE639" s="740"/>
      <c r="AF639" s="741"/>
      <c r="AG639" s="757"/>
      <c r="AH639" s="740"/>
      <c r="AI639" s="741"/>
      <c r="AJ639" s="757"/>
      <c r="AK639" s="737"/>
      <c r="AL639" s="738"/>
      <c r="AM639" s="738"/>
      <c r="AN639" s="739"/>
      <c r="AO639" s="740">
        <f t="shared" si="8"/>
        <v>0</v>
      </c>
      <c r="AP639" s="741"/>
      <c r="AQ639" s="741"/>
      <c r="AR639" s="742"/>
    </row>
    <row r="640" spans="3:44" ht="18" customHeight="1">
      <c r="C640" s="758"/>
      <c r="D640" s="759"/>
      <c r="E640" s="760"/>
      <c r="F640" s="761"/>
      <c r="G640" s="762"/>
      <c r="H640" s="762"/>
      <c r="I640" s="762"/>
      <c r="J640" s="762"/>
      <c r="K640" s="762"/>
      <c r="L640" s="762"/>
      <c r="M640" s="762"/>
      <c r="N640" s="762"/>
      <c r="O640" s="762"/>
      <c r="P640" s="762"/>
      <c r="Q640" s="762"/>
      <c r="R640" s="763"/>
      <c r="S640" s="764"/>
      <c r="T640" s="765"/>
      <c r="U640" s="766"/>
      <c r="V640" s="764"/>
      <c r="W640" s="765"/>
      <c r="X640" s="766"/>
      <c r="Y640" s="767"/>
      <c r="Z640" s="768"/>
      <c r="AA640" s="768"/>
      <c r="AB640" s="768"/>
      <c r="AC640" s="768"/>
      <c r="AD640" s="769"/>
      <c r="AE640" s="740"/>
      <c r="AF640" s="741"/>
      <c r="AG640" s="757"/>
      <c r="AH640" s="740"/>
      <c r="AI640" s="741"/>
      <c r="AJ640" s="757"/>
      <c r="AK640" s="737"/>
      <c r="AL640" s="738"/>
      <c r="AM640" s="738"/>
      <c r="AN640" s="739"/>
      <c r="AO640" s="740">
        <f t="shared" si="8"/>
        <v>0</v>
      </c>
      <c r="AP640" s="741"/>
      <c r="AQ640" s="741"/>
      <c r="AR640" s="742"/>
    </row>
    <row r="641" spans="1:44" ht="18" customHeight="1">
      <c r="C641" s="743"/>
      <c r="D641" s="744"/>
      <c r="E641" s="744"/>
      <c r="F641" s="744"/>
      <c r="G641" s="744"/>
      <c r="H641" s="744"/>
      <c r="I641" s="744"/>
      <c r="J641" s="744"/>
      <c r="K641" s="744"/>
      <c r="L641" s="744"/>
      <c r="M641" s="744"/>
      <c r="N641" s="744"/>
      <c r="O641" s="744"/>
      <c r="P641" s="744"/>
      <c r="Q641" s="744"/>
      <c r="R641" s="744"/>
      <c r="S641" s="744"/>
      <c r="T641" s="744"/>
      <c r="U641" s="744"/>
      <c r="V641" s="744"/>
      <c r="W641" s="744"/>
      <c r="X641" s="744"/>
      <c r="Y641" s="745" t="s">
        <v>95</v>
      </c>
      <c r="Z641" s="745"/>
      <c r="AA641" s="745"/>
      <c r="AB641" s="745"/>
      <c r="AC641" s="745"/>
      <c r="AD641" s="745"/>
      <c r="AE641" s="745"/>
      <c r="AF641" s="745"/>
      <c r="AG641" s="745"/>
      <c r="AH641" s="745"/>
      <c r="AI641" s="745"/>
      <c r="AJ641" s="745"/>
      <c r="AK641" s="745"/>
      <c r="AL641" s="745"/>
      <c r="AM641" s="745"/>
      <c r="AN641" s="430"/>
      <c r="AO641" s="477">
        <f>SUM(AO633:AR640)</f>
        <v>0</v>
      </c>
      <c r="AP641" s="746"/>
      <c r="AQ641" s="746"/>
      <c r="AR641" s="747"/>
    </row>
    <row r="643" spans="1:44" ht="18" customHeight="1">
      <c r="C643" s="434"/>
      <c r="D643" s="434"/>
      <c r="E643" s="434"/>
      <c r="F643" s="434"/>
      <c r="G643" s="434"/>
      <c r="H643" s="434"/>
      <c r="I643" s="434"/>
      <c r="J643" s="434"/>
      <c r="K643" s="434"/>
      <c r="L643" s="434"/>
      <c r="M643" s="434"/>
      <c r="N643" s="434"/>
      <c r="O643" s="434"/>
      <c r="P643" s="434"/>
      <c r="Q643" s="434"/>
      <c r="R643" s="434"/>
      <c r="S643" s="434"/>
      <c r="T643" s="434"/>
      <c r="U643" s="434"/>
      <c r="V643" s="434"/>
      <c r="W643" s="434"/>
      <c r="X643" s="748"/>
      <c r="Y643" s="749" t="s">
        <v>96</v>
      </c>
      <c r="Z643" s="750"/>
      <c r="AA643" s="750"/>
      <c r="AB643" s="750"/>
      <c r="AC643" s="750"/>
      <c r="AD643" s="750"/>
      <c r="AE643" s="750"/>
      <c r="AF643" s="750"/>
      <c r="AG643" s="750"/>
      <c r="AH643" s="750"/>
      <c r="AI643" s="750"/>
      <c r="AJ643" s="750"/>
      <c r="AK643" s="750"/>
      <c r="AL643" s="750"/>
      <c r="AM643" s="750"/>
      <c r="AN643" s="751"/>
      <c r="AO643" s="752">
        <f>AO617+AO629+AO641</f>
        <v>10.57</v>
      </c>
      <c r="AP643" s="753"/>
      <c r="AQ643" s="753"/>
      <c r="AR643" s="754"/>
    </row>
    <row r="644" spans="1:44" ht="18" customHeight="1">
      <c r="C644" s="434"/>
      <c r="D644" s="434"/>
      <c r="E644" s="434"/>
      <c r="F644" s="434"/>
      <c r="G644" s="434"/>
      <c r="H644" s="434"/>
      <c r="I644" s="434"/>
      <c r="J644" s="434"/>
      <c r="K644" s="434"/>
      <c r="L644" s="434"/>
      <c r="M644" s="434"/>
      <c r="N644" s="434"/>
      <c r="O644" s="434"/>
      <c r="P644" s="434"/>
      <c r="Q644" s="434"/>
      <c r="R644" s="434"/>
      <c r="S644" s="434"/>
      <c r="T644" s="434"/>
      <c r="U644" s="434"/>
      <c r="V644" s="434"/>
      <c r="W644" s="434"/>
      <c r="X644" s="748"/>
      <c r="Y644" s="755" t="s">
        <v>97</v>
      </c>
      <c r="Z644" s="756"/>
      <c r="AA644" s="756"/>
      <c r="AB644" s="756"/>
      <c r="AC644" s="756"/>
      <c r="AD644" s="756"/>
      <c r="AE644" s="756"/>
      <c r="AF644" s="756"/>
      <c r="AG644" s="756"/>
      <c r="AH644" s="442">
        <v>0.2031</v>
      </c>
      <c r="AI644" s="442"/>
      <c r="AJ644" s="442"/>
      <c r="AK644" s="442"/>
      <c r="AL644" s="442"/>
      <c r="AM644" s="442"/>
      <c r="AN644" s="443"/>
      <c r="AO644" s="728">
        <f>ROUND(AO643*AH644,2)</f>
        <v>2.15</v>
      </c>
      <c r="AP644" s="729"/>
      <c r="AQ644" s="729"/>
      <c r="AR644" s="730"/>
    </row>
    <row r="645" spans="1:44" ht="18" customHeight="1">
      <c r="A645" s="415" t="s">
        <v>671</v>
      </c>
      <c r="B645" s="415"/>
      <c r="C645" s="434"/>
      <c r="D645" s="434"/>
      <c r="E645" s="434"/>
      <c r="F645" s="434"/>
      <c r="G645" s="434"/>
      <c r="H645" s="434"/>
      <c r="I645" s="434"/>
      <c r="J645" s="434"/>
      <c r="K645" s="434"/>
      <c r="L645" s="434"/>
      <c r="M645" s="434"/>
      <c r="N645" s="434"/>
      <c r="O645" s="434"/>
      <c r="P645" s="434"/>
      <c r="Q645" s="434"/>
      <c r="R645" s="434"/>
      <c r="S645" s="434"/>
      <c r="T645" s="434"/>
      <c r="U645" s="434"/>
      <c r="V645" s="434"/>
      <c r="W645" s="434"/>
      <c r="X645" s="748"/>
      <c r="Y645" s="731" t="s">
        <v>98</v>
      </c>
      <c r="Z645" s="732"/>
      <c r="AA645" s="732"/>
      <c r="AB645" s="732"/>
      <c r="AC645" s="732"/>
      <c r="AD645" s="732"/>
      <c r="AE645" s="732"/>
      <c r="AF645" s="732"/>
      <c r="AG645" s="732"/>
      <c r="AH645" s="732"/>
      <c r="AI645" s="732"/>
      <c r="AJ645" s="732"/>
      <c r="AK645" s="732"/>
      <c r="AL645" s="732"/>
      <c r="AM645" s="732"/>
      <c r="AN645" s="733"/>
      <c r="AO645" s="734">
        <f>SUM(AO643:AR644)</f>
        <v>12.72</v>
      </c>
      <c r="AP645" s="735"/>
      <c r="AQ645" s="735"/>
      <c r="AR645" s="736"/>
    </row>
    <row r="647" spans="1:44" ht="18" customHeight="1">
      <c r="C647" s="420" t="s">
        <v>99</v>
      </c>
      <c r="D647" s="421"/>
      <c r="E647" s="421"/>
      <c r="F647" s="421"/>
      <c r="G647" s="421"/>
      <c r="H647" s="421"/>
      <c r="I647" s="422"/>
      <c r="J647" s="422"/>
      <c r="K647" s="422"/>
      <c r="L647" s="422"/>
      <c r="M647" s="422"/>
      <c r="N647" s="422"/>
      <c r="O647" s="422"/>
      <c r="P647" s="422"/>
      <c r="Q647" s="422"/>
      <c r="R647" s="422"/>
      <c r="S647" s="422"/>
      <c r="T647" s="422"/>
      <c r="U647" s="422"/>
      <c r="V647" s="422"/>
      <c r="W647" s="422"/>
      <c r="X647" s="422"/>
      <c r="Y647" s="422"/>
      <c r="Z647" s="422"/>
      <c r="AA647" s="422"/>
      <c r="AB647" s="422"/>
      <c r="AC647" s="422"/>
      <c r="AD647" s="422"/>
      <c r="AE647" s="422"/>
      <c r="AF647" s="422"/>
      <c r="AG647" s="422"/>
      <c r="AH647" s="422"/>
      <c r="AI647" s="422"/>
      <c r="AJ647" s="422"/>
      <c r="AK647" s="422"/>
      <c r="AL647" s="422"/>
      <c r="AM647" s="422"/>
      <c r="AN647" s="422"/>
      <c r="AO647" s="422"/>
      <c r="AP647" s="422"/>
      <c r="AQ647" s="422"/>
      <c r="AR647" s="423"/>
    </row>
    <row r="648" spans="1:44" ht="18" customHeight="1">
      <c r="C648" s="411"/>
      <c r="D648" s="412"/>
      <c r="E648" s="412"/>
      <c r="F648" s="412"/>
      <c r="G648" s="412"/>
      <c r="H648" s="412"/>
      <c r="I648" s="409"/>
      <c r="J648" s="409"/>
      <c r="K648" s="409"/>
      <c r="L648" s="409"/>
      <c r="M648" s="409"/>
      <c r="N648" s="409"/>
      <c r="O648" s="409"/>
      <c r="P648" s="409"/>
      <c r="Q648" s="409"/>
      <c r="R648" s="409"/>
      <c r="S648" s="409"/>
      <c r="T648" s="409"/>
      <c r="U648" s="409"/>
      <c r="V648" s="409"/>
      <c r="W648" s="409"/>
      <c r="X648" s="409"/>
      <c r="Y648" s="409"/>
      <c r="Z648" s="409"/>
      <c r="AA648" s="409"/>
      <c r="AB648" s="409"/>
      <c r="AC648" s="409"/>
      <c r="AD648" s="409"/>
      <c r="AE648" s="409"/>
      <c r="AF648" s="409"/>
      <c r="AG648" s="409"/>
      <c r="AH648" s="409"/>
      <c r="AI648" s="409"/>
      <c r="AJ648" s="409"/>
      <c r="AK648" s="409"/>
      <c r="AL648" s="409"/>
      <c r="AM648" s="409"/>
      <c r="AN648" s="409"/>
      <c r="AO648" s="409"/>
      <c r="AP648" s="409"/>
      <c r="AQ648" s="409"/>
      <c r="AR648" s="410"/>
    </row>
    <row r="649" spans="1:44" ht="18" customHeight="1">
      <c r="C649" s="411"/>
      <c r="D649" s="412"/>
      <c r="E649" s="412"/>
      <c r="F649" s="412"/>
      <c r="G649" s="412"/>
      <c r="H649" s="412"/>
      <c r="I649" s="409"/>
      <c r="J649" s="409"/>
      <c r="K649" s="409"/>
      <c r="L649" s="409"/>
      <c r="M649" s="409"/>
      <c r="N649" s="409"/>
      <c r="O649" s="409"/>
      <c r="P649" s="409"/>
      <c r="Q649" s="409"/>
      <c r="R649" s="409"/>
      <c r="S649" s="409"/>
      <c r="T649" s="409"/>
      <c r="U649" s="409"/>
      <c r="V649" s="409"/>
      <c r="W649" s="409"/>
      <c r="X649" s="409"/>
      <c r="Y649" s="409"/>
      <c r="Z649" s="409"/>
      <c r="AA649" s="409"/>
      <c r="AB649" s="409"/>
      <c r="AC649" s="409"/>
      <c r="AD649" s="409"/>
      <c r="AE649" s="409"/>
      <c r="AF649" s="409"/>
      <c r="AG649" s="409"/>
      <c r="AH649" s="409"/>
      <c r="AI649" s="409"/>
      <c r="AJ649" s="409"/>
      <c r="AK649" s="409"/>
      <c r="AL649" s="409"/>
      <c r="AM649" s="409"/>
      <c r="AN649" s="409"/>
      <c r="AO649" s="409"/>
      <c r="AP649" s="409"/>
      <c r="AQ649" s="409"/>
      <c r="AR649" s="410"/>
    </row>
    <row r="650" spans="1:44" ht="18" customHeight="1">
      <c r="C650" s="411"/>
      <c r="D650" s="412"/>
      <c r="E650" s="412"/>
      <c r="F650" s="412"/>
      <c r="G650" s="412"/>
      <c r="H650" s="412"/>
      <c r="I650" s="409"/>
      <c r="J650" s="409"/>
      <c r="K650" s="409"/>
      <c r="L650" s="409"/>
      <c r="M650" s="409"/>
      <c r="N650" s="409"/>
      <c r="O650" s="409"/>
      <c r="P650" s="409"/>
      <c r="Q650" s="409"/>
      <c r="R650" s="409"/>
      <c r="S650" s="409"/>
      <c r="T650" s="409"/>
      <c r="U650" s="409"/>
      <c r="V650" s="409"/>
      <c r="W650" s="409"/>
      <c r="X650" s="409"/>
      <c r="Y650" s="409"/>
      <c r="Z650" s="409"/>
      <c r="AA650" s="409"/>
      <c r="AB650" s="409"/>
      <c r="AC650" s="409"/>
      <c r="AD650" s="409"/>
      <c r="AE650" s="409"/>
      <c r="AF650" s="409"/>
      <c r="AG650" s="409"/>
      <c r="AH650" s="409"/>
      <c r="AI650" s="409"/>
      <c r="AJ650" s="409"/>
      <c r="AK650" s="409"/>
      <c r="AL650" s="409"/>
      <c r="AM650" s="409"/>
      <c r="AN650" s="409"/>
      <c r="AO650" s="409"/>
      <c r="AP650" s="409"/>
      <c r="AQ650" s="409"/>
      <c r="AR650" s="410"/>
    </row>
    <row r="651" spans="1:44" ht="18" customHeight="1">
      <c r="C651" s="411"/>
      <c r="D651" s="412"/>
      <c r="E651" s="412"/>
      <c r="F651" s="412"/>
      <c r="G651" s="412"/>
      <c r="H651" s="412"/>
      <c r="I651" s="409"/>
      <c r="J651" s="409"/>
      <c r="K651" s="409"/>
      <c r="L651" s="409"/>
      <c r="M651" s="409"/>
      <c r="N651" s="409"/>
      <c r="O651" s="409"/>
      <c r="P651" s="409"/>
      <c r="Q651" s="409"/>
      <c r="R651" s="409"/>
      <c r="S651" s="409"/>
      <c r="T651" s="409"/>
      <c r="U651" s="409"/>
      <c r="V651" s="409"/>
      <c r="W651" s="409"/>
      <c r="X651" s="409"/>
      <c r="Y651" s="409"/>
      <c r="Z651" s="409"/>
      <c r="AA651" s="409"/>
      <c r="AB651" s="409"/>
      <c r="AC651" s="409"/>
      <c r="AD651" s="409"/>
      <c r="AE651" s="409"/>
      <c r="AF651" s="409"/>
      <c r="AG651" s="409"/>
      <c r="AH651" s="409"/>
      <c r="AI651" s="409"/>
      <c r="AJ651" s="409"/>
      <c r="AK651" s="409"/>
      <c r="AL651" s="409"/>
      <c r="AM651" s="409"/>
      <c r="AN651" s="409"/>
      <c r="AO651" s="409"/>
      <c r="AP651" s="409"/>
      <c r="AQ651" s="409"/>
      <c r="AR651" s="410"/>
    </row>
    <row r="652" spans="1:44" ht="18" customHeight="1">
      <c r="C652" s="385"/>
      <c r="D652" s="386"/>
      <c r="E652" s="386"/>
      <c r="F652" s="386"/>
      <c r="G652" s="386"/>
      <c r="H652" s="386"/>
      <c r="I652" s="387"/>
      <c r="J652" s="387"/>
      <c r="K652" s="387"/>
      <c r="L652" s="387"/>
      <c r="M652" s="387"/>
      <c r="N652" s="387"/>
      <c r="O652" s="387"/>
      <c r="P652" s="387"/>
      <c r="Q652" s="387"/>
      <c r="R652" s="387"/>
      <c r="S652" s="387"/>
      <c r="T652" s="387"/>
      <c r="U652" s="387"/>
      <c r="V652" s="387"/>
      <c r="W652" s="387"/>
      <c r="X652" s="387"/>
      <c r="Y652" s="387"/>
      <c r="Z652" s="387"/>
      <c r="AA652" s="387"/>
      <c r="AB652" s="387"/>
      <c r="AC652" s="387"/>
      <c r="AD652" s="387"/>
      <c r="AE652" s="387"/>
      <c r="AF652" s="387"/>
      <c r="AG652" s="387"/>
      <c r="AH652" s="387"/>
      <c r="AI652" s="387"/>
      <c r="AJ652" s="387"/>
      <c r="AK652" s="387"/>
      <c r="AL652" s="387"/>
      <c r="AM652" s="387"/>
      <c r="AN652" s="387"/>
      <c r="AO652" s="387"/>
      <c r="AP652" s="387"/>
      <c r="AQ652" s="387"/>
      <c r="AR652" s="388"/>
    </row>
    <row r="654" spans="1:44" ht="18" customHeight="1">
      <c r="C654" s="389" t="s">
        <v>100</v>
      </c>
      <c r="D654" s="390"/>
      <c r="E654" s="390"/>
      <c r="F654" s="390"/>
      <c r="G654" s="390"/>
      <c r="H654" s="390"/>
      <c r="I654" s="390"/>
      <c r="J654" s="390"/>
      <c r="K654" s="390"/>
      <c r="L654" s="390"/>
      <c r="M654" s="390"/>
      <c r="N654" s="390"/>
      <c r="O654" s="390"/>
      <c r="P654" s="390"/>
      <c r="Q654" s="390"/>
      <c r="R654" s="390"/>
      <c r="S654" s="390"/>
      <c r="T654" s="390"/>
      <c r="U654" s="390"/>
      <c r="V654" s="390"/>
      <c r="W654" s="390"/>
      <c r="X654" s="390"/>
      <c r="Y654" s="390"/>
      <c r="Z654" s="390"/>
      <c r="AA654" s="391"/>
      <c r="AB654" s="392" t="str">
        <f>[4]C.UNIT.SERV.!$E$5</f>
        <v>DATA-BASE:      MAIO/2011/PR</v>
      </c>
      <c r="AC654" s="393"/>
      <c r="AD654" s="393"/>
      <c r="AE654" s="393"/>
      <c r="AF654" s="393"/>
      <c r="AG654" s="393"/>
      <c r="AH654" s="393"/>
      <c r="AI654" s="394"/>
      <c r="AJ654" s="392"/>
      <c r="AK654" s="393"/>
      <c r="AL654" s="393"/>
      <c r="AM654" s="393"/>
      <c r="AN654" s="393"/>
      <c r="AO654" s="393"/>
      <c r="AP654" s="393"/>
      <c r="AQ654" s="393"/>
      <c r="AR654" s="401"/>
    </row>
    <row r="655" spans="1:44" ht="18" customHeight="1">
      <c r="C655" s="404" t="s">
        <v>101</v>
      </c>
      <c r="D655" s="405"/>
      <c r="E655" s="405"/>
      <c r="F655" s="405"/>
      <c r="G655" s="405" t="s">
        <v>283</v>
      </c>
      <c r="H655" s="405"/>
      <c r="I655" s="405"/>
      <c r="J655" s="405"/>
      <c r="K655" s="405"/>
      <c r="L655" s="405"/>
      <c r="M655" s="405"/>
      <c r="N655" s="405"/>
      <c r="O655" s="405"/>
      <c r="P655" s="405"/>
      <c r="Q655" s="405"/>
      <c r="R655" s="405"/>
      <c r="S655" s="405"/>
      <c r="T655" s="405"/>
      <c r="U655" s="405"/>
      <c r="V655" s="405"/>
      <c r="W655" s="405"/>
      <c r="X655" s="405"/>
      <c r="Y655" s="405"/>
      <c r="Z655" s="405"/>
      <c r="AA655" s="406"/>
      <c r="AB655" s="395"/>
      <c r="AC655" s="396"/>
      <c r="AD655" s="396"/>
      <c r="AE655" s="396"/>
      <c r="AF655" s="396"/>
      <c r="AG655" s="396"/>
      <c r="AH655" s="396"/>
      <c r="AI655" s="397"/>
      <c r="AJ655" s="395"/>
      <c r="AK655" s="396"/>
      <c r="AL655" s="396"/>
      <c r="AM655" s="396"/>
      <c r="AN655" s="396"/>
      <c r="AO655" s="396"/>
      <c r="AP655" s="396"/>
      <c r="AQ655" s="396"/>
      <c r="AR655" s="402"/>
    </row>
    <row r="656" spans="1:44" ht="18" customHeight="1">
      <c r="C656" s="404" t="s">
        <v>102</v>
      </c>
      <c r="D656" s="405"/>
      <c r="E656" s="405"/>
      <c r="F656" s="405"/>
      <c r="G656" s="405"/>
      <c r="H656" s="405"/>
      <c r="I656" s="405"/>
      <c r="J656" s="405"/>
      <c r="K656" s="405"/>
      <c r="L656" s="405"/>
      <c r="M656" s="405"/>
      <c r="N656" s="405"/>
      <c r="O656" s="405"/>
      <c r="P656" s="405"/>
      <c r="Q656" s="405"/>
      <c r="R656" s="405"/>
      <c r="S656" s="405"/>
      <c r="T656" s="405"/>
      <c r="U656" s="405"/>
      <c r="V656" s="405"/>
      <c r="W656" s="405"/>
      <c r="X656" s="405"/>
      <c r="Y656" s="405"/>
      <c r="Z656" s="405"/>
      <c r="AA656" s="406"/>
      <c r="AB656" s="395"/>
      <c r="AC656" s="396"/>
      <c r="AD656" s="396"/>
      <c r="AE656" s="396"/>
      <c r="AF656" s="396"/>
      <c r="AG656" s="396"/>
      <c r="AH656" s="396"/>
      <c r="AI656" s="397"/>
      <c r="AJ656" s="395"/>
      <c r="AK656" s="396"/>
      <c r="AL656" s="396"/>
      <c r="AM656" s="396"/>
      <c r="AN656" s="396"/>
      <c r="AO656" s="396"/>
      <c r="AP656" s="396"/>
      <c r="AQ656" s="396"/>
      <c r="AR656" s="402"/>
    </row>
    <row r="657" spans="3:44" ht="18" customHeight="1">
      <c r="C657" s="407"/>
      <c r="D657" s="408"/>
      <c r="E657" s="408"/>
      <c r="F657" s="408"/>
      <c r="G657" s="408"/>
      <c r="H657" s="408"/>
      <c r="I657" s="408"/>
      <c r="J657" s="408"/>
      <c r="K657" s="408"/>
      <c r="L657" s="408"/>
      <c r="M657" s="408"/>
      <c r="N657" s="408"/>
      <c r="O657" s="408"/>
      <c r="P657" s="408"/>
      <c r="Q657" s="408"/>
      <c r="R657" s="408"/>
      <c r="S657" s="408"/>
      <c r="T657" s="408"/>
      <c r="U657" s="408"/>
      <c r="V657" s="408"/>
      <c r="W657" s="408"/>
      <c r="X657" s="408"/>
      <c r="Y657" s="408"/>
      <c r="Z657" s="408"/>
      <c r="AA657" s="408"/>
      <c r="AB657" s="398"/>
      <c r="AC657" s="399"/>
      <c r="AD657" s="399"/>
      <c r="AE657" s="399"/>
      <c r="AF657" s="399"/>
      <c r="AG657" s="399"/>
      <c r="AH657" s="399"/>
      <c r="AI657" s="400"/>
      <c r="AJ657" s="398"/>
      <c r="AK657" s="399"/>
      <c r="AL657" s="399"/>
      <c r="AM657" s="399"/>
      <c r="AN657" s="399"/>
      <c r="AO657" s="399"/>
      <c r="AP657" s="399"/>
      <c r="AQ657" s="399"/>
      <c r="AR657" s="403"/>
    </row>
    <row r="659" spans="3:44" ht="18" customHeight="1">
      <c r="C659" s="850" t="s">
        <v>64</v>
      </c>
      <c r="D659" s="851"/>
      <c r="E659" s="851"/>
      <c r="F659" s="851"/>
      <c r="G659" s="851"/>
      <c r="H659" s="851"/>
      <c r="I659" s="851"/>
      <c r="J659" s="851"/>
      <c r="K659" s="851"/>
      <c r="L659" s="851"/>
      <c r="M659" s="851"/>
      <c r="N659" s="851"/>
      <c r="O659" s="851"/>
      <c r="P659" s="851"/>
      <c r="Q659" s="851"/>
      <c r="R659" s="851"/>
      <c r="S659" s="851"/>
      <c r="T659" s="851"/>
      <c r="U659" s="851"/>
      <c r="V659" s="851"/>
      <c r="W659" s="851"/>
      <c r="X659" s="851"/>
      <c r="Y659" s="851"/>
      <c r="Z659" s="851"/>
      <c r="AA659" s="851"/>
      <c r="AB659" s="851"/>
      <c r="AC659" s="851"/>
      <c r="AD659" s="851"/>
      <c r="AE659" s="851"/>
      <c r="AF659" s="851"/>
      <c r="AG659" s="851"/>
      <c r="AH659" s="851"/>
      <c r="AI659" s="851"/>
      <c r="AJ659" s="851"/>
      <c r="AK659" s="851"/>
      <c r="AL659" s="851"/>
      <c r="AM659" s="851"/>
      <c r="AN659" s="851"/>
      <c r="AO659" s="851"/>
      <c r="AP659" s="851"/>
      <c r="AQ659" s="851"/>
      <c r="AR659" s="852"/>
    </row>
    <row r="660" spans="3:44" ht="18" customHeight="1">
      <c r="C660" s="853"/>
      <c r="D660" s="854"/>
      <c r="E660" s="854"/>
      <c r="F660" s="854"/>
      <c r="G660" s="854"/>
      <c r="H660" s="854"/>
      <c r="I660" s="854"/>
      <c r="J660" s="854"/>
      <c r="K660" s="854"/>
      <c r="L660" s="854"/>
      <c r="M660" s="854"/>
      <c r="N660" s="854"/>
      <c r="O660" s="854"/>
      <c r="P660" s="854"/>
      <c r="Q660" s="854"/>
      <c r="R660" s="854"/>
      <c r="S660" s="854"/>
      <c r="T660" s="854"/>
      <c r="U660" s="854"/>
      <c r="V660" s="854"/>
      <c r="W660" s="854"/>
      <c r="X660" s="854"/>
      <c r="Y660" s="854"/>
      <c r="Z660" s="854"/>
      <c r="AA660" s="854"/>
      <c r="AB660" s="854"/>
      <c r="AC660" s="854"/>
      <c r="AD660" s="854"/>
      <c r="AE660" s="854"/>
      <c r="AF660" s="854"/>
      <c r="AG660" s="854"/>
      <c r="AH660" s="854"/>
      <c r="AI660" s="854"/>
      <c r="AJ660" s="854"/>
      <c r="AK660" s="854"/>
      <c r="AL660" s="854"/>
      <c r="AM660" s="854"/>
      <c r="AN660" s="854"/>
      <c r="AO660" s="854"/>
      <c r="AP660" s="854"/>
      <c r="AQ660" s="854"/>
      <c r="AR660" s="855"/>
    </row>
    <row r="661" spans="3:44" ht="18" customHeight="1">
      <c r="C661" s="856" t="s">
        <v>65</v>
      </c>
      <c r="D661" s="857"/>
      <c r="E661" s="857"/>
      <c r="F661" s="857"/>
      <c r="G661" s="860" t="s">
        <v>688</v>
      </c>
      <c r="H661" s="860"/>
      <c r="I661" s="860"/>
      <c r="J661" s="861"/>
      <c r="K661" s="864" t="s">
        <v>66</v>
      </c>
      <c r="L661" s="865"/>
      <c r="M661" s="865"/>
      <c r="N661" s="865"/>
      <c r="O661" s="522" t="s">
        <v>692</v>
      </c>
      <c r="P661" s="523"/>
      <c r="Q661" s="523"/>
      <c r="R661" s="523"/>
      <c r="S661" s="523"/>
      <c r="T661" s="523"/>
      <c r="U661" s="523"/>
      <c r="V661" s="523"/>
      <c r="W661" s="523"/>
      <c r="X661" s="523"/>
      <c r="Y661" s="523"/>
      <c r="Z661" s="523"/>
      <c r="AA661" s="523"/>
      <c r="AB661" s="523"/>
      <c r="AC661" s="523"/>
      <c r="AD661" s="523"/>
      <c r="AE661" s="523"/>
      <c r="AF661" s="523"/>
      <c r="AG661" s="523"/>
      <c r="AH661" s="523"/>
      <c r="AI661" s="523"/>
      <c r="AJ661" s="523"/>
      <c r="AK661" s="523"/>
      <c r="AL661" s="864" t="s">
        <v>67</v>
      </c>
      <c r="AM661" s="865"/>
      <c r="AN661" s="865"/>
      <c r="AO661" s="865"/>
      <c r="AP661" s="843" t="s">
        <v>246</v>
      </c>
      <c r="AQ661" s="843"/>
      <c r="AR661" s="844"/>
    </row>
    <row r="662" spans="3:44" ht="18" customHeight="1">
      <c r="C662" s="858"/>
      <c r="D662" s="859"/>
      <c r="E662" s="859"/>
      <c r="F662" s="859"/>
      <c r="G662" s="862"/>
      <c r="H662" s="862"/>
      <c r="I662" s="862"/>
      <c r="J662" s="863"/>
      <c r="K662" s="866"/>
      <c r="L662" s="867"/>
      <c r="M662" s="867"/>
      <c r="N662" s="867"/>
      <c r="O662" s="524"/>
      <c r="P662" s="525"/>
      <c r="Q662" s="525"/>
      <c r="R662" s="525"/>
      <c r="S662" s="525"/>
      <c r="T662" s="525"/>
      <c r="U662" s="525"/>
      <c r="V662" s="525"/>
      <c r="W662" s="525"/>
      <c r="X662" s="525"/>
      <c r="Y662" s="525"/>
      <c r="Z662" s="525"/>
      <c r="AA662" s="525"/>
      <c r="AB662" s="525"/>
      <c r="AC662" s="525"/>
      <c r="AD662" s="525"/>
      <c r="AE662" s="525"/>
      <c r="AF662" s="525"/>
      <c r="AG662" s="525"/>
      <c r="AH662" s="525"/>
      <c r="AI662" s="525"/>
      <c r="AJ662" s="525"/>
      <c r="AK662" s="525"/>
      <c r="AL662" s="866"/>
      <c r="AM662" s="867"/>
      <c r="AN662" s="867"/>
      <c r="AO662" s="867"/>
      <c r="AP662" s="845"/>
      <c r="AQ662" s="845"/>
      <c r="AR662" s="846"/>
    </row>
    <row r="664" spans="3:44" ht="18" customHeight="1">
      <c r="C664" s="794" t="s">
        <v>43</v>
      </c>
      <c r="D664" s="774"/>
      <c r="E664" s="775"/>
      <c r="F664" s="773" t="s">
        <v>68</v>
      </c>
      <c r="G664" s="774"/>
      <c r="H664" s="774"/>
      <c r="I664" s="774"/>
      <c r="J664" s="774"/>
      <c r="K664" s="774"/>
      <c r="L664" s="774"/>
      <c r="M664" s="774"/>
      <c r="N664" s="774"/>
      <c r="O664" s="774"/>
      <c r="P664" s="774"/>
      <c r="Q664" s="774"/>
      <c r="R664" s="774"/>
      <c r="S664" s="774"/>
      <c r="T664" s="774"/>
      <c r="U664" s="775"/>
      <c r="V664" s="773" t="s">
        <v>249</v>
      </c>
      <c r="W664" s="774"/>
      <c r="X664" s="775"/>
      <c r="Y664" s="847" t="s">
        <v>69</v>
      </c>
      <c r="Z664" s="848"/>
      <c r="AA664" s="848"/>
      <c r="AB664" s="848"/>
      <c r="AC664" s="848"/>
      <c r="AD664" s="848"/>
      <c r="AE664" s="848"/>
      <c r="AF664" s="849"/>
      <c r="AG664" s="847" t="s">
        <v>70</v>
      </c>
      <c r="AH664" s="848"/>
      <c r="AI664" s="848"/>
      <c r="AJ664" s="848"/>
      <c r="AK664" s="848"/>
      <c r="AL664" s="848"/>
      <c r="AM664" s="848"/>
      <c r="AN664" s="849"/>
      <c r="AO664" s="773" t="s">
        <v>71</v>
      </c>
      <c r="AP664" s="774"/>
      <c r="AQ664" s="774"/>
      <c r="AR664" s="779"/>
    </row>
    <row r="665" spans="3:44" ht="18" customHeight="1">
      <c r="C665" s="795"/>
      <c r="D665" s="777"/>
      <c r="E665" s="778"/>
      <c r="F665" s="776"/>
      <c r="G665" s="777"/>
      <c r="H665" s="777"/>
      <c r="I665" s="777"/>
      <c r="J665" s="777"/>
      <c r="K665" s="777"/>
      <c r="L665" s="777"/>
      <c r="M665" s="777"/>
      <c r="N665" s="777"/>
      <c r="O665" s="777"/>
      <c r="P665" s="777"/>
      <c r="Q665" s="777"/>
      <c r="R665" s="777"/>
      <c r="S665" s="777"/>
      <c r="T665" s="777"/>
      <c r="U665" s="778"/>
      <c r="V665" s="776"/>
      <c r="W665" s="777"/>
      <c r="X665" s="778"/>
      <c r="Y665" s="834" t="s">
        <v>72</v>
      </c>
      <c r="Z665" s="835"/>
      <c r="AA665" s="835"/>
      <c r="AB665" s="836"/>
      <c r="AC665" s="834" t="s">
        <v>73</v>
      </c>
      <c r="AD665" s="835"/>
      <c r="AE665" s="835"/>
      <c r="AF665" s="836"/>
      <c r="AG665" s="834" t="s">
        <v>72</v>
      </c>
      <c r="AH665" s="835"/>
      <c r="AI665" s="835"/>
      <c r="AJ665" s="836"/>
      <c r="AK665" s="834" t="s">
        <v>73</v>
      </c>
      <c r="AL665" s="835"/>
      <c r="AM665" s="835"/>
      <c r="AN665" s="836"/>
      <c r="AO665" s="776"/>
      <c r="AP665" s="777"/>
      <c r="AQ665" s="777"/>
      <c r="AR665" s="780"/>
    </row>
    <row r="666" spans="3:44" ht="18" customHeight="1">
      <c r="C666" s="781" t="s">
        <v>1379</v>
      </c>
      <c r="D666" s="782"/>
      <c r="E666" s="783"/>
      <c r="F666" s="493" t="s">
        <v>468</v>
      </c>
      <c r="G666" s="493"/>
      <c r="H666" s="493"/>
      <c r="I666" s="493"/>
      <c r="J666" s="493"/>
      <c r="K666" s="493"/>
      <c r="L666" s="493"/>
      <c r="M666" s="493"/>
      <c r="N666" s="493"/>
      <c r="O666" s="493"/>
      <c r="P666" s="493"/>
      <c r="Q666" s="493"/>
      <c r="R666" s="493"/>
      <c r="S666" s="493"/>
      <c r="T666" s="493"/>
      <c r="U666" s="493"/>
      <c r="V666" s="837">
        <v>1</v>
      </c>
      <c r="W666" s="838"/>
      <c r="X666" s="839"/>
      <c r="Y666" s="837">
        <v>1</v>
      </c>
      <c r="Z666" s="838"/>
      <c r="AA666" s="838"/>
      <c r="AB666" s="839"/>
      <c r="AC666" s="868">
        <f>1-Y666</f>
        <v>0</v>
      </c>
      <c r="AD666" s="869"/>
      <c r="AE666" s="869"/>
      <c r="AF666" s="870"/>
      <c r="AG666" s="491">
        <f>VLOOKUP(C666,[4]EQUIPAMENTOS!A$1:D$65536,3,FALSE)</f>
        <v>3.1082000000000001</v>
      </c>
      <c r="AH666" s="491"/>
      <c r="AI666" s="491"/>
      <c r="AJ666" s="491"/>
      <c r="AK666" s="491">
        <f>VLOOKUP(C666,[4]EQUIPAMENTOS!A$1:D$65536,4,FALSE)</f>
        <v>0</v>
      </c>
      <c r="AL666" s="491"/>
      <c r="AM666" s="491"/>
      <c r="AN666" s="491"/>
      <c r="AO666" s="491">
        <f>ROUND((Y666*AG666+AC666*AK666)*V666,2)</f>
        <v>3.11</v>
      </c>
      <c r="AP666" s="491"/>
      <c r="AQ666" s="491"/>
      <c r="AR666" s="492"/>
    </row>
    <row r="667" spans="3:44" ht="18" customHeight="1">
      <c r="C667" s="758"/>
      <c r="D667" s="759"/>
      <c r="E667" s="760"/>
      <c r="F667" s="493"/>
      <c r="G667" s="493"/>
      <c r="H667" s="493"/>
      <c r="I667" s="493"/>
      <c r="J667" s="493"/>
      <c r="K667" s="493"/>
      <c r="L667" s="493"/>
      <c r="M667" s="493"/>
      <c r="N667" s="493"/>
      <c r="O667" s="493"/>
      <c r="P667" s="493"/>
      <c r="Q667" s="493"/>
      <c r="R667" s="493"/>
      <c r="S667" s="493"/>
      <c r="T667" s="493"/>
      <c r="U667" s="493"/>
      <c r="V667" s="466"/>
      <c r="W667" s="467"/>
      <c r="X667" s="468"/>
      <c r="Y667" s="466"/>
      <c r="Z667" s="467"/>
      <c r="AA667" s="467"/>
      <c r="AB667" s="468"/>
      <c r="AC667" s="828"/>
      <c r="AD667" s="829"/>
      <c r="AE667" s="829"/>
      <c r="AF667" s="830"/>
      <c r="AG667" s="491"/>
      <c r="AH667" s="491"/>
      <c r="AI667" s="491"/>
      <c r="AJ667" s="491"/>
      <c r="AK667" s="491"/>
      <c r="AL667" s="491"/>
      <c r="AM667" s="491"/>
      <c r="AN667" s="491"/>
      <c r="AO667" s="491"/>
      <c r="AP667" s="491"/>
      <c r="AQ667" s="491"/>
      <c r="AR667" s="492"/>
    </row>
    <row r="668" spans="3:44" ht="18" customHeight="1">
      <c r="C668" s="758"/>
      <c r="D668" s="759"/>
      <c r="E668" s="760"/>
      <c r="F668" s="493"/>
      <c r="G668" s="493"/>
      <c r="H668" s="493"/>
      <c r="I668" s="493"/>
      <c r="J668" s="493"/>
      <c r="K668" s="493"/>
      <c r="L668" s="493"/>
      <c r="M668" s="493"/>
      <c r="N668" s="493"/>
      <c r="O668" s="493"/>
      <c r="P668" s="493"/>
      <c r="Q668" s="493"/>
      <c r="R668" s="493"/>
      <c r="S668" s="493"/>
      <c r="T668" s="493"/>
      <c r="U668" s="493"/>
      <c r="V668" s="466"/>
      <c r="W668" s="467"/>
      <c r="X668" s="468"/>
      <c r="Y668" s="466"/>
      <c r="Z668" s="467"/>
      <c r="AA668" s="467"/>
      <c r="AB668" s="468"/>
      <c r="AC668" s="828"/>
      <c r="AD668" s="829"/>
      <c r="AE668" s="829"/>
      <c r="AF668" s="830"/>
      <c r="AG668" s="491"/>
      <c r="AH668" s="491"/>
      <c r="AI668" s="491"/>
      <c r="AJ668" s="491"/>
      <c r="AK668" s="491"/>
      <c r="AL668" s="491"/>
      <c r="AM668" s="491"/>
      <c r="AN668" s="491"/>
      <c r="AO668" s="491"/>
      <c r="AP668" s="491"/>
      <c r="AQ668" s="491"/>
      <c r="AR668" s="492"/>
    </row>
    <row r="669" spans="3:44" ht="18" customHeight="1">
      <c r="C669" s="758"/>
      <c r="D669" s="759"/>
      <c r="E669" s="760"/>
      <c r="F669" s="493"/>
      <c r="G669" s="493"/>
      <c r="H669" s="493"/>
      <c r="I669" s="493"/>
      <c r="J669" s="493"/>
      <c r="K669" s="493"/>
      <c r="L669" s="493"/>
      <c r="M669" s="493"/>
      <c r="N669" s="493"/>
      <c r="O669" s="493"/>
      <c r="P669" s="493"/>
      <c r="Q669" s="493"/>
      <c r="R669" s="493"/>
      <c r="S669" s="493"/>
      <c r="T669" s="493"/>
      <c r="U669" s="493"/>
      <c r="V669" s="466"/>
      <c r="W669" s="467"/>
      <c r="X669" s="468"/>
      <c r="Y669" s="466"/>
      <c r="Z669" s="467"/>
      <c r="AA669" s="467"/>
      <c r="AB669" s="468"/>
      <c r="AC669" s="828"/>
      <c r="AD669" s="829"/>
      <c r="AE669" s="829"/>
      <c r="AF669" s="830"/>
      <c r="AG669" s="491"/>
      <c r="AH669" s="491"/>
      <c r="AI669" s="491"/>
      <c r="AJ669" s="491"/>
      <c r="AK669" s="491"/>
      <c r="AL669" s="491"/>
      <c r="AM669" s="491"/>
      <c r="AN669" s="491"/>
      <c r="AO669" s="491"/>
      <c r="AP669" s="491"/>
      <c r="AQ669" s="491"/>
      <c r="AR669" s="492"/>
    </row>
    <row r="670" spans="3:44" ht="18" customHeight="1">
      <c r="C670" s="758"/>
      <c r="D670" s="759"/>
      <c r="E670" s="760"/>
      <c r="F670" s="493"/>
      <c r="G670" s="493"/>
      <c r="H670" s="493"/>
      <c r="I670" s="493"/>
      <c r="J670" s="493"/>
      <c r="K670" s="493"/>
      <c r="L670" s="493"/>
      <c r="M670" s="493"/>
      <c r="N670" s="493"/>
      <c r="O670" s="493"/>
      <c r="P670" s="493"/>
      <c r="Q670" s="493"/>
      <c r="R670" s="493"/>
      <c r="S670" s="493"/>
      <c r="T670" s="493"/>
      <c r="U670" s="493"/>
      <c r="V670" s="466"/>
      <c r="W670" s="467"/>
      <c r="X670" s="468"/>
      <c r="Y670" s="466"/>
      <c r="Z670" s="467"/>
      <c r="AA670" s="467"/>
      <c r="AB670" s="468"/>
      <c r="AC670" s="828"/>
      <c r="AD670" s="829"/>
      <c r="AE670" s="829"/>
      <c r="AF670" s="830"/>
      <c r="AG670" s="491"/>
      <c r="AH670" s="491"/>
      <c r="AI670" s="491"/>
      <c r="AJ670" s="491"/>
      <c r="AK670" s="491"/>
      <c r="AL670" s="491"/>
      <c r="AM670" s="491"/>
      <c r="AN670" s="491"/>
      <c r="AO670" s="491"/>
      <c r="AP670" s="491"/>
      <c r="AQ670" s="491"/>
      <c r="AR670" s="492"/>
    </row>
    <row r="671" spans="3:44" ht="18" customHeight="1">
      <c r="C671" s="758"/>
      <c r="D671" s="759"/>
      <c r="E671" s="760"/>
      <c r="F671" s="493"/>
      <c r="G671" s="493"/>
      <c r="H671" s="493"/>
      <c r="I671" s="493"/>
      <c r="J671" s="493"/>
      <c r="K671" s="493"/>
      <c r="L671" s="493"/>
      <c r="M671" s="493"/>
      <c r="N671" s="493"/>
      <c r="O671" s="493"/>
      <c r="P671" s="493"/>
      <c r="Q671" s="493"/>
      <c r="R671" s="493"/>
      <c r="S671" s="493"/>
      <c r="T671" s="493"/>
      <c r="U671" s="493"/>
      <c r="V671" s="466"/>
      <c r="W671" s="467"/>
      <c r="X671" s="468"/>
      <c r="Y671" s="466"/>
      <c r="Z671" s="467"/>
      <c r="AA671" s="467"/>
      <c r="AB671" s="468"/>
      <c r="AC671" s="828"/>
      <c r="AD671" s="829"/>
      <c r="AE671" s="829"/>
      <c r="AF671" s="830"/>
      <c r="AG671" s="491"/>
      <c r="AH671" s="491"/>
      <c r="AI671" s="491"/>
      <c r="AJ671" s="491"/>
      <c r="AK671" s="491"/>
      <c r="AL671" s="491"/>
      <c r="AM671" s="491"/>
      <c r="AN671" s="491"/>
      <c r="AO671" s="491"/>
      <c r="AP671" s="491"/>
      <c r="AQ671" s="491"/>
      <c r="AR671" s="492"/>
    </row>
    <row r="672" spans="3:44" ht="18" customHeight="1">
      <c r="C672" s="758"/>
      <c r="D672" s="759"/>
      <c r="E672" s="760"/>
      <c r="F672" s="796"/>
      <c r="G672" s="797"/>
      <c r="H672" s="797"/>
      <c r="I672" s="797"/>
      <c r="J672" s="797"/>
      <c r="K672" s="797"/>
      <c r="L672" s="797"/>
      <c r="M672" s="797"/>
      <c r="N672" s="797"/>
      <c r="O672" s="797"/>
      <c r="P672" s="797"/>
      <c r="Q672" s="797"/>
      <c r="R672" s="797"/>
      <c r="S672" s="797"/>
      <c r="T672" s="797"/>
      <c r="U672" s="798"/>
      <c r="V672" s="466"/>
      <c r="W672" s="467"/>
      <c r="X672" s="468"/>
      <c r="Y672" s="466"/>
      <c r="Z672" s="467"/>
      <c r="AA672" s="467"/>
      <c r="AB672" s="468"/>
      <c r="AC672" s="828"/>
      <c r="AD672" s="829"/>
      <c r="AE672" s="829"/>
      <c r="AF672" s="830"/>
      <c r="AG672" s="466"/>
      <c r="AH672" s="467"/>
      <c r="AI672" s="467"/>
      <c r="AJ672" s="468"/>
      <c r="AK672" s="466"/>
      <c r="AL672" s="467"/>
      <c r="AM672" s="467"/>
      <c r="AN672" s="468"/>
      <c r="AO672" s="466"/>
      <c r="AP672" s="467"/>
      <c r="AQ672" s="467"/>
      <c r="AR672" s="823"/>
    </row>
    <row r="673" spans="3:44" ht="18" customHeight="1">
      <c r="C673" s="758"/>
      <c r="D673" s="759"/>
      <c r="E673" s="760"/>
      <c r="F673" s="796"/>
      <c r="G673" s="797"/>
      <c r="H673" s="797"/>
      <c r="I673" s="797"/>
      <c r="J673" s="797"/>
      <c r="K673" s="797"/>
      <c r="L673" s="797"/>
      <c r="M673" s="797"/>
      <c r="N673" s="797"/>
      <c r="O673" s="797"/>
      <c r="P673" s="797"/>
      <c r="Q673" s="797"/>
      <c r="R673" s="797"/>
      <c r="S673" s="797"/>
      <c r="T673" s="797"/>
      <c r="U673" s="798"/>
      <c r="V673" s="466"/>
      <c r="W673" s="467"/>
      <c r="X673" s="468"/>
      <c r="Y673" s="466"/>
      <c r="Z673" s="467"/>
      <c r="AA673" s="467"/>
      <c r="AB673" s="468"/>
      <c r="AC673" s="828"/>
      <c r="AD673" s="829"/>
      <c r="AE673" s="829"/>
      <c r="AF673" s="830"/>
      <c r="AG673" s="466"/>
      <c r="AH673" s="467"/>
      <c r="AI673" s="467"/>
      <c r="AJ673" s="468"/>
      <c r="AK673" s="466"/>
      <c r="AL673" s="467"/>
      <c r="AM673" s="467"/>
      <c r="AN673" s="468"/>
      <c r="AO673" s="466"/>
      <c r="AP673" s="467"/>
      <c r="AQ673" s="467"/>
      <c r="AR673" s="823"/>
    </row>
    <row r="674" spans="3:44" ht="18" customHeight="1">
      <c r="C674" s="743"/>
      <c r="D674" s="744"/>
      <c r="E674" s="744"/>
      <c r="F674" s="744"/>
      <c r="G674" s="744"/>
      <c r="H674" s="744"/>
      <c r="I674" s="744"/>
      <c r="J674" s="744"/>
      <c r="K674" s="744"/>
      <c r="L674" s="744"/>
      <c r="M674" s="744"/>
      <c r="N674" s="744"/>
      <c r="O674" s="744"/>
      <c r="P674" s="744"/>
      <c r="Q674" s="744"/>
      <c r="R674" s="744"/>
      <c r="S674" s="744"/>
      <c r="T674" s="744"/>
      <c r="U674" s="744"/>
      <c r="V674" s="744"/>
      <c r="W674" s="744"/>
      <c r="X674" s="824"/>
      <c r="Y674" s="825" t="s">
        <v>74</v>
      </c>
      <c r="Z674" s="826"/>
      <c r="AA674" s="826"/>
      <c r="AB674" s="826"/>
      <c r="AC674" s="826"/>
      <c r="AD674" s="826"/>
      <c r="AE674" s="826"/>
      <c r="AF674" s="826"/>
      <c r="AG674" s="826"/>
      <c r="AH674" s="826"/>
      <c r="AI674" s="826"/>
      <c r="AJ674" s="826"/>
      <c r="AK674" s="826"/>
      <c r="AL674" s="826"/>
      <c r="AM674" s="826"/>
      <c r="AN674" s="827"/>
      <c r="AO674" s="477">
        <f>SUM(AO666:AR673)</f>
        <v>3.11</v>
      </c>
      <c r="AP674" s="746"/>
      <c r="AQ674" s="746"/>
      <c r="AR674" s="747"/>
    </row>
    <row r="676" spans="3:44" ht="18" customHeight="1">
      <c r="C676" s="794" t="s">
        <v>43</v>
      </c>
      <c r="D676" s="774"/>
      <c r="E676" s="775"/>
      <c r="F676" s="773" t="s">
        <v>75</v>
      </c>
      <c r="G676" s="774"/>
      <c r="H676" s="774"/>
      <c r="I676" s="774"/>
      <c r="J676" s="774"/>
      <c r="K676" s="774"/>
      <c r="L676" s="774"/>
      <c r="M676" s="774"/>
      <c r="N676" s="774"/>
      <c r="O676" s="774"/>
      <c r="P676" s="774"/>
      <c r="Q676" s="774"/>
      <c r="R676" s="774"/>
      <c r="S676" s="774"/>
      <c r="T676" s="774"/>
      <c r="U676" s="774"/>
      <c r="V676" s="774"/>
      <c r="W676" s="774"/>
      <c r="X676" s="774"/>
      <c r="Y676" s="774"/>
      <c r="Z676" s="774"/>
      <c r="AA676" s="774"/>
      <c r="AB676" s="775"/>
      <c r="AC676" s="773" t="s">
        <v>76</v>
      </c>
      <c r="AD676" s="774"/>
      <c r="AE676" s="774"/>
      <c r="AF676" s="775"/>
      <c r="AG676" s="773" t="s">
        <v>249</v>
      </c>
      <c r="AH676" s="774"/>
      <c r="AI676" s="774"/>
      <c r="AJ676" s="775"/>
      <c r="AK676" s="773" t="s">
        <v>77</v>
      </c>
      <c r="AL676" s="774"/>
      <c r="AM676" s="774"/>
      <c r="AN676" s="775"/>
      <c r="AO676" s="773" t="s">
        <v>71</v>
      </c>
      <c r="AP676" s="774"/>
      <c r="AQ676" s="774"/>
      <c r="AR676" s="779"/>
    </row>
    <row r="677" spans="3:44" ht="18" customHeight="1">
      <c r="C677" s="795"/>
      <c r="D677" s="777"/>
      <c r="E677" s="778"/>
      <c r="F677" s="776"/>
      <c r="G677" s="777"/>
      <c r="H677" s="777"/>
      <c r="I677" s="777"/>
      <c r="J677" s="777"/>
      <c r="K677" s="777"/>
      <c r="L677" s="777"/>
      <c r="M677" s="777"/>
      <c r="N677" s="777"/>
      <c r="O677" s="777"/>
      <c r="P677" s="777"/>
      <c r="Q677" s="777"/>
      <c r="R677" s="777"/>
      <c r="S677" s="777"/>
      <c r="T677" s="777"/>
      <c r="U677" s="777"/>
      <c r="V677" s="777"/>
      <c r="W677" s="777"/>
      <c r="X677" s="777"/>
      <c r="Y677" s="777"/>
      <c r="Z677" s="777"/>
      <c r="AA677" s="777"/>
      <c r="AB677" s="778"/>
      <c r="AC677" s="776"/>
      <c r="AD677" s="777"/>
      <c r="AE677" s="777"/>
      <c r="AF677" s="778"/>
      <c r="AG677" s="776"/>
      <c r="AH677" s="777"/>
      <c r="AI677" s="777"/>
      <c r="AJ677" s="778"/>
      <c r="AK677" s="776"/>
      <c r="AL677" s="777"/>
      <c r="AM677" s="777"/>
      <c r="AN677" s="778"/>
      <c r="AO677" s="776"/>
      <c r="AP677" s="777"/>
      <c r="AQ677" s="777"/>
      <c r="AR677" s="780"/>
    </row>
    <row r="678" spans="3:44" ht="18" customHeight="1">
      <c r="C678" s="781" t="s">
        <v>940</v>
      </c>
      <c r="D678" s="782"/>
      <c r="E678" s="783"/>
      <c r="F678" s="493" t="s">
        <v>105</v>
      </c>
      <c r="G678" s="493"/>
      <c r="H678" s="493"/>
      <c r="I678" s="493"/>
      <c r="J678" s="493"/>
      <c r="K678" s="493"/>
      <c r="L678" s="493"/>
      <c r="M678" s="493"/>
      <c r="N678" s="493"/>
      <c r="O678" s="493"/>
      <c r="P678" s="493"/>
      <c r="Q678" s="493"/>
      <c r="R678" s="493"/>
      <c r="S678" s="493"/>
      <c r="T678" s="493"/>
      <c r="U678" s="493"/>
      <c r="V678" s="493"/>
      <c r="W678" s="493"/>
      <c r="X678" s="493"/>
      <c r="Y678" s="493"/>
      <c r="Z678" s="493"/>
      <c r="AA678" s="493"/>
      <c r="AB678" s="493"/>
      <c r="AC678" s="770"/>
      <c r="AD678" s="771"/>
      <c r="AE678" s="771"/>
      <c r="AF678" s="790"/>
      <c r="AG678" s="770">
        <v>1</v>
      </c>
      <c r="AH678" s="771"/>
      <c r="AI678" s="771"/>
      <c r="AJ678" s="790"/>
      <c r="AK678" s="449">
        <f>VLOOKUP(C678,[4]MÃODEOBRA!A$1:D$65536,4,FALSE)</f>
        <v>22.98488</v>
      </c>
      <c r="AL678" s="449"/>
      <c r="AM678" s="449"/>
      <c r="AN678" s="449"/>
      <c r="AO678" s="491">
        <f>ROUND(AG678*AK678,2)</f>
        <v>22.98</v>
      </c>
      <c r="AP678" s="491"/>
      <c r="AQ678" s="491"/>
      <c r="AR678" s="492"/>
    </row>
    <row r="679" spans="3:44" ht="18" customHeight="1">
      <c r="C679" s="758" t="s">
        <v>1380</v>
      </c>
      <c r="D679" s="759"/>
      <c r="E679" s="760"/>
      <c r="F679" s="493" t="s">
        <v>469</v>
      </c>
      <c r="G679" s="493"/>
      <c r="H679" s="493"/>
      <c r="I679" s="493"/>
      <c r="J679" s="493"/>
      <c r="K679" s="493"/>
      <c r="L679" s="493"/>
      <c r="M679" s="493"/>
      <c r="N679" s="493"/>
      <c r="O679" s="493"/>
      <c r="P679" s="493"/>
      <c r="Q679" s="493"/>
      <c r="R679" s="493"/>
      <c r="S679" s="493"/>
      <c r="T679" s="493"/>
      <c r="U679" s="493"/>
      <c r="V679" s="493"/>
      <c r="W679" s="493"/>
      <c r="X679" s="493"/>
      <c r="Y679" s="493"/>
      <c r="Z679" s="493"/>
      <c r="AA679" s="493"/>
      <c r="AB679" s="493"/>
      <c r="AC679" s="740"/>
      <c r="AD679" s="741"/>
      <c r="AE679" s="741"/>
      <c r="AF679" s="757"/>
      <c r="AG679" s="740">
        <v>1</v>
      </c>
      <c r="AH679" s="741"/>
      <c r="AI679" s="741"/>
      <c r="AJ679" s="757"/>
      <c r="AK679" s="449">
        <f>VLOOKUP(C679,[4]MÃODEOBRA!A$1:D$65536,4,FALSE)</f>
        <v>11.156079999999999</v>
      </c>
      <c r="AL679" s="449"/>
      <c r="AM679" s="449"/>
      <c r="AN679" s="449"/>
      <c r="AO679" s="491">
        <f>ROUND(AG679*AK679,2)</f>
        <v>11.16</v>
      </c>
      <c r="AP679" s="491"/>
      <c r="AQ679" s="491"/>
      <c r="AR679" s="492"/>
    </row>
    <row r="680" spans="3:44" ht="18" customHeight="1">
      <c r="C680" s="758" t="s">
        <v>943</v>
      </c>
      <c r="D680" s="759"/>
      <c r="E680" s="760"/>
      <c r="F680" s="796" t="s">
        <v>128</v>
      </c>
      <c r="G680" s="797"/>
      <c r="H680" s="797"/>
      <c r="I680" s="797"/>
      <c r="J680" s="797"/>
      <c r="K680" s="797"/>
      <c r="L680" s="797"/>
      <c r="M680" s="797"/>
      <c r="N680" s="797"/>
      <c r="O680" s="797"/>
      <c r="P680" s="797"/>
      <c r="Q680" s="797"/>
      <c r="R680" s="797"/>
      <c r="S680" s="797"/>
      <c r="T680" s="797"/>
      <c r="U680" s="797"/>
      <c r="V680" s="797"/>
      <c r="W680" s="797"/>
      <c r="X680" s="797"/>
      <c r="Y680" s="797"/>
      <c r="Z680" s="797"/>
      <c r="AA680" s="797"/>
      <c r="AB680" s="798"/>
      <c r="AC680" s="740"/>
      <c r="AD680" s="741"/>
      <c r="AE680" s="741"/>
      <c r="AF680" s="757"/>
      <c r="AG680" s="740">
        <v>2</v>
      </c>
      <c r="AH680" s="741"/>
      <c r="AI680" s="741"/>
      <c r="AJ680" s="757"/>
      <c r="AK680" s="449">
        <f>VLOOKUP(C680,[4]MÃODEOBRA!A$1:D$65536,4,FALSE)</f>
        <v>8.6333500000000001</v>
      </c>
      <c r="AL680" s="449"/>
      <c r="AM680" s="449"/>
      <c r="AN680" s="449"/>
      <c r="AO680" s="491">
        <f>ROUND(AG680*AK680,2)</f>
        <v>17.27</v>
      </c>
      <c r="AP680" s="491"/>
      <c r="AQ680" s="491"/>
      <c r="AR680" s="492"/>
    </row>
    <row r="681" spans="3:44" ht="18" customHeight="1">
      <c r="C681" s="758"/>
      <c r="D681" s="759"/>
      <c r="E681" s="760"/>
      <c r="F681" s="796"/>
      <c r="G681" s="797"/>
      <c r="H681" s="797"/>
      <c r="I681" s="797"/>
      <c r="J681" s="797"/>
      <c r="K681" s="797"/>
      <c r="L681" s="797"/>
      <c r="M681" s="797"/>
      <c r="N681" s="797"/>
      <c r="O681" s="797"/>
      <c r="P681" s="797"/>
      <c r="Q681" s="797"/>
      <c r="R681" s="797"/>
      <c r="S681" s="797"/>
      <c r="T681" s="797"/>
      <c r="U681" s="797"/>
      <c r="V681" s="797"/>
      <c r="W681" s="797"/>
      <c r="X681" s="797"/>
      <c r="Y681" s="797"/>
      <c r="Z681" s="797"/>
      <c r="AA681" s="797"/>
      <c r="AB681" s="798"/>
      <c r="AC681" s="740"/>
      <c r="AD681" s="741"/>
      <c r="AE681" s="741"/>
      <c r="AF681" s="757"/>
      <c r="AG681" s="740"/>
      <c r="AH681" s="741"/>
      <c r="AI681" s="741"/>
      <c r="AJ681" s="757"/>
      <c r="AK681" s="740"/>
      <c r="AL681" s="741"/>
      <c r="AM681" s="741"/>
      <c r="AN681" s="757"/>
      <c r="AO681" s="466"/>
      <c r="AP681" s="467"/>
      <c r="AQ681" s="467"/>
      <c r="AR681" s="823"/>
    </row>
    <row r="682" spans="3:44" ht="18" customHeight="1">
      <c r="C682" s="758"/>
      <c r="D682" s="759"/>
      <c r="E682" s="760"/>
      <c r="F682" s="796"/>
      <c r="G682" s="797"/>
      <c r="H682" s="797"/>
      <c r="I682" s="797"/>
      <c r="J682" s="797"/>
      <c r="K682" s="797"/>
      <c r="L682" s="797"/>
      <c r="M682" s="797"/>
      <c r="N682" s="797"/>
      <c r="O682" s="797"/>
      <c r="P682" s="797"/>
      <c r="Q682" s="797"/>
      <c r="R682" s="797"/>
      <c r="S682" s="797"/>
      <c r="T682" s="797"/>
      <c r="U682" s="797"/>
      <c r="V682" s="797"/>
      <c r="W682" s="797"/>
      <c r="X682" s="797"/>
      <c r="Y682" s="797"/>
      <c r="Z682" s="797"/>
      <c r="AA682" s="797"/>
      <c r="AB682" s="798"/>
      <c r="AC682" s="740"/>
      <c r="AD682" s="741"/>
      <c r="AE682" s="741"/>
      <c r="AF682" s="757"/>
      <c r="AG682" s="740"/>
      <c r="AH682" s="741"/>
      <c r="AI682" s="741"/>
      <c r="AJ682" s="757"/>
      <c r="AK682" s="740"/>
      <c r="AL682" s="741"/>
      <c r="AM682" s="741"/>
      <c r="AN682" s="757"/>
      <c r="AO682" s="466"/>
      <c r="AP682" s="467"/>
      <c r="AQ682" s="467"/>
      <c r="AR682" s="823"/>
    </row>
    <row r="683" spans="3:44" ht="18" customHeight="1">
      <c r="C683" s="758"/>
      <c r="D683" s="759"/>
      <c r="E683" s="760"/>
      <c r="F683" s="796"/>
      <c r="G683" s="797"/>
      <c r="H683" s="797"/>
      <c r="I683" s="797"/>
      <c r="J683" s="797"/>
      <c r="K683" s="797"/>
      <c r="L683" s="797"/>
      <c r="M683" s="797"/>
      <c r="N683" s="797"/>
      <c r="O683" s="797"/>
      <c r="P683" s="797"/>
      <c r="Q683" s="797"/>
      <c r="R683" s="797"/>
      <c r="S683" s="797"/>
      <c r="T683" s="797"/>
      <c r="U683" s="797"/>
      <c r="V683" s="797"/>
      <c r="W683" s="797"/>
      <c r="X683" s="797"/>
      <c r="Y683" s="797"/>
      <c r="Z683" s="797"/>
      <c r="AA683" s="797"/>
      <c r="AB683" s="798"/>
      <c r="AC683" s="740"/>
      <c r="AD683" s="741"/>
      <c r="AE683" s="741"/>
      <c r="AF683" s="757"/>
      <c r="AG683" s="740"/>
      <c r="AH683" s="741"/>
      <c r="AI683" s="741"/>
      <c r="AJ683" s="757"/>
      <c r="AK683" s="740"/>
      <c r="AL683" s="741"/>
      <c r="AM683" s="741"/>
      <c r="AN683" s="757"/>
      <c r="AO683" s="466"/>
      <c r="AP683" s="467"/>
      <c r="AQ683" s="467"/>
      <c r="AR683" s="823"/>
    </row>
    <row r="684" spans="3:44" ht="18" customHeight="1">
      <c r="C684" s="758"/>
      <c r="D684" s="759"/>
      <c r="E684" s="760"/>
      <c r="F684" s="796"/>
      <c r="G684" s="797"/>
      <c r="H684" s="797"/>
      <c r="I684" s="797"/>
      <c r="J684" s="797"/>
      <c r="K684" s="797"/>
      <c r="L684" s="797"/>
      <c r="M684" s="797"/>
      <c r="N684" s="797"/>
      <c r="O684" s="797"/>
      <c r="P684" s="797"/>
      <c r="Q684" s="797"/>
      <c r="R684" s="797"/>
      <c r="S684" s="797"/>
      <c r="T684" s="797"/>
      <c r="U684" s="797"/>
      <c r="V684" s="797"/>
      <c r="W684" s="797"/>
      <c r="X684" s="797"/>
      <c r="Y684" s="797"/>
      <c r="Z684" s="797"/>
      <c r="AA684" s="797"/>
      <c r="AB684" s="798"/>
      <c r="AC684" s="740"/>
      <c r="AD684" s="741"/>
      <c r="AE684" s="741"/>
      <c r="AF684" s="757"/>
      <c r="AG684" s="740"/>
      <c r="AH684" s="741"/>
      <c r="AI684" s="741"/>
      <c r="AJ684" s="757"/>
      <c r="AK684" s="740"/>
      <c r="AL684" s="741"/>
      <c r="AM684" s="741"/>
      <c r="AN684" s="757"/>
      <c r="AO684" s="466"/>
      <c r="AP684" s="467"/>
      <c r="AQ684" s="467"/>
      <c r="AR684" s="823"/>
    </row>
    <row r="685" spans="3:44" ht="18" customHeight="1">
      <c r="C685" s="758"/>
      <c r="D685" s="759"/>
      <c r="E685" s="760"/>
      <c r="F685" s="796"/>
      <c r="G685" s="797"/>
      <c r="H685" s="797"/>
      <c r="I685" s="797"/>
      <c r="J685" s="797"/>
      <c r="K685" s="797"/>
      <c r="L685" s="797"/>
      <c r="M685" s="797"/>
      <c r="N685" s="797"/>
      <c r="O685" s="797"/>
      <c r="P685" s="797"/>
      <c r="Q685" s="797"/>
      <c r="R685" s="797"/>
      <c r="S685" s="797"/>
      <c r="T685" s="797"/>
      <c r="U685" s="797"/>
      <c r="V685" s="797"/>
      <c r="W685" s="797"/>
      <c r="X685" s="797"/>
      <c r="Y685" s="797"/>
      <c r="Z685" s="797"/>
      <c r="AA685" s="797"/>
      <c r="AB685" s="798"/>
      <c r="AC685" s="740"/>
      <c r="AD685" s="741"/>
      <c r="AE685" s="741"/>
      <c r="AF685" s="757"/>
      <c r="AG685" s="740"/>
      <c r="AH685" s="741"/>
      <c r="AI685" s="741"/>
      <c r="AJ685" s="757"/>
      <c r="AK685" s="740"/>
      <c r="AL685" s="741"/>
      <c r="AM685" s="741"/>
      <c r="AN685" s="757"/>
      <c r="AO685" s="466"/>
      <c r="AP685" s="467"/>
      <c r="AQ685" s="467"/>
      <c r="AR685" s="823"/>
    </row>
    <row r="686" spans="3:44" ht="18" customHeight="1">
      <c r="C686" s="814"/>
      <c r="D686" s="815"/>
      <c r="E686" s="815"/>
      <c r="F686" s="815"/>
      <c r="G686" s="815"/>
      <c r="H686" s="815"/>
      <c r="I686" s="815"/>
      <c r="J686" s="815"/>
      <c r="K686" s="815"/>
      <c r="L686" s="815"/>
      <c r="M686" s="815"/>
      <c r="N686" s="815"/>
      <c r="O686" s="815"/>
      <c r="P686" s="815"/>
      <c r="Q686" s="815"/>
      <c r="R686" s="815"/>
      <c r="S686" s="815"/>
      <c r="T686" s="815"/>
      <c r="U686" s="815"/>
      <c r="V686" s="815"/>
      <c r="W686" s="815"/>
      <c r="X686" s="815"/>
      <c r="Y686" s="816" t="s">
        <v>78</v>
      </c>
      <c r="Z686" s="816"/>
      <c r="AA686" s="816"/>
      <c r="AB686" s="816"/>
      <c r="AC686" s="816"/>
      <c r="AD686" s="816"/>
      <c r="AE686" s="816"/>
      <c r="AF686" s="483"/>
      <c r="AG686" s="817" t="s">
        <v>267</v>
      </c>
      <c r="AH686" s="818"/>
      <c r="AI686" s="818"/>
      <c r="AJ686" s="819"/>
      <c r="AK686" s="466">
        <f>SUM(AO678:AR685)</f>
        <v>51.41</v>
      </c>
      <c r="AL686" s="467"/>
      <c r="AM686" s="467"/>
      <c r="AN686" s="468"/>
      <c r="AO686" s="820">
        <f>ROUND(AG686*AK686,2)</f>
        <v>10.54</v>
      </c>
      <c r="AP686" s="821"/>
      <c r="AQ686" s="821"/>
      <c r="AR686" s="822"/>
    </row>
    <row r="687" spans="3:44" ht="18" customHeight="1">
      <c r="C687" s="743"/>
      <c r="D687" s="744"/>
      <c r="E687" s="744"/>
      <c r="F687" s="744"/>
      <c r="G687" s="744"/>
      <c r="H687" s="744"/>
      <c r="I687" s="744"/>
      <c r="J687" s="744"/>
      <c r="K687" s="744"/>
      <c r="L687" s="744"/>
      <c r="M687" s="744"/>
      <c r="N687" s="744"/>
      <c r="O687" s="744"/>
      <c r="P687" s="744"/>
      <c r="Q687" s="744"/>
      <c r="R687" s="744"/>
      <c r="S687" s="744"/>
      <c r="T687" s="744"/>
      <c r="U687" s="744"/>
      <c r="V687" s="744"/>
      <c r="W687" s="744"/>
      <c r="X687" s="744"/>
      <c r="Y687" s="745" t="s">
        <v>79</v>
      </c>
      <c r="Z687" s="745"/>
      <c r="AA687" s="745"/>
      <c r="AB687" s="745"/>
      <c r="AC687" s="745"/>
      <c r="AD687" s="745"/>
      <c r="AE687" s="745"/>
      <c r="AF687" s="745"/>
      <c r="AG687" s="745"/>
      <c r="AH687" s="745"/>
      <c r="AI687" s="745"/>
      <c r="AJ687" s="745"/>
      <c r="AK687" s="745"/>
      <c r="AL687" s="745"/>
      <c r="AM687" s="745"/>
      <c r="AN687" s="430"/>
      <c r="AO687" s="477">
        <f>SUM(AO678:AR686)</f>
        <v>61.949999999999996</v>
      </c>
      <c r="AP687" s="746"/>
      <c r="AQ687" s="746"/>
      <c r="AR687" s="747"/>
    </row>
    <row r="689" spans="3:44" ht="18" customHeight="1">
      <c r="C689" s="802"/>
      <c r="D689" s="803"/>
      <c r="E689" s="803"/>
      <c r="F689" s="803"/>
      <c r="G689" s="803"/>
      <c r="H689" s="803"/>
      <c r="I689" s="803"/>
      <c r="J689" s="803"/>
      <c r="K689" s="803"/>
      <c r="L689" s="803"/>
      <c r="M689" s="803"/>
      <c r="N689" s="803"/>
      <c r="O689" s="803"/>
      <c r="P689" s="803"/>
      <c r="Q689" s="803"/>
      <c r="R689" s="803"/>
      <c r="S689" s="803"/>
      <c r="T689" s="803"/>
      <c r="U689" s="803"/>
      <c r="V689" s="803"/>
      <c r="W689" s="803"/>
      <c r="X689" s="803"/>
      <c r="Y689" s="804" t="s">
        <v>80</v>
      </c>
      <c r="Z689" s="805"/>
      <c r="AA689" s="805"/>
      <c r="AB689" s="805"/>
      <c r="AC689" s="805"/>
      <c r="AD689" s="805"/>
      <c r="AE689" s="805"/>
      <c r="AF689" s="805"/>
      <c r="AG689" s="805"/>
      <c r="AH689" s="805"/>
      <c r="AI689" s="805"/>
      <c r="AJ689" s="805"/>
      <c r="AK689" s="805"/>
      <c r="AL689" s="805"/>
      <c r="AM689" s="805"/>
      <c r="AN689" s="806"/>
      <c r="AO689" s="807">
        <f>AO674+AO687</f>
        <v>65.06</v>
      </c>
      <c r="AP689" s="808"/>
      <c r="AQ689" s="808"/>
      <c r="AR689" s="809"/>
    </row>
    <row r="690" spans="3:44" ht="18" customHeight="1">
      <c r="C690" s="810" t="s">
        <v>81</v>
      </c>
      <c r="D690" s="745"/>
      <c r="E690" s="745"/>
      <c r="F690" s="745"/>
      <c r="G690" s="745"/>
      <c r="H690" s="745"/>
      <c r="I690" s="745"/>
      <c r="J690" s="745"/>
      <c r="K690" s="745"/>
      <c r="L690" s="745"/>
      <c r="M690" s="745"/>
      <c r="N690" s="745"/>
      <c r="O690" s="745"/>
      <c r="P690" s="430"/>
      <c r="Q690" s="477">
        <v>10</v>
      </c>
      <c r="R690" s="746"/>
      <c r="S690" s="746"/>
      <c r="T690" s="746"/>
      <c r="U690" s="746"/>
      <c r="V690" s="745" t="s">
        <v>246</v>
      </c>
      <c r="W690" s="745"/>
      <c r="X690" s="430"/>
      <c r="Y690" s="804" t="s">
        <v>82</v>
      </c>
      <c r="Z690" s="805"/>
      <c r="AA690" s="805"/>
      <c r="AB690" s="805"/>
      <c r="AC690" s="805"/>
      <c r="AD690" s="805"/>
      <c r="AE690" s="805"/>
      <c r="AF690" s="805"/>
      <c r="AG690" s="805"/>
      <c r="AH690" s="805"/>
      <c r="AI690" s="805"/>
      <c r="AJ690" s="805"/>
      <c r="AK690" s="805"/>
      <c r="AL690" s="805"/>
      <c r="AM690" s="805"/>
      <c r="AN690" s="806"/>
      <c r="AO690" s="811">
        <f>ROUND(AO689/Q690,2)</f>
        <v>6.51</v>
      </c>
      <c r="AP690" s="812"/>
      <c r="AQ690" s="812"/>
      <c r="AR690" s="813"/>
    </row>
    <row r="692" spans="3:44" ht="18" customHeight="1">
      <c r="C692" s="794" t="s">
        <v>43</v>
      </c>
      <c r="D692" s="774"/>
      <c r="E692" s="775"/>
      <c r="F692" s="773" t="s">
        <v>83</v>
      </c>
      <c r="G692" s="774"/>
      <c r="H692" s="774"/>
      <c r="I692" s="774"/>
      <c r="J692" s="774"/>
      <c r="K692" s="774"/>
      <c r="L692" s="774"/>
      <c r="M692" s="774"/>
      <c r="N692" s="774"/>
      <c r="O692" s="774"/>
      <c r="P692" s="774"/>
      <c r="Q692" s="774"/>
      <c r="R692" s="774"/>
      <c r="S692" s="774"/>
      <c r="T692" s="774"/>
      <c r="U692" s="774"/>
      <c r="V692" s="774"/>
      <c r="W692" s="774"/>
      <c r="X692" s="774"/>
      <c r="Y692" s="774"/>
      <c r="Z692" s="774"/>
      <c r="AA692" s="774"/>
      <c r="AB692" s="775"/>
      <c r="AC692" s="773" t="s">
        <v>84</v>
      </c>
      <c r="AD692" s="774"/>
      <c r="AE692" s="774"/>
      <c r="AF692" s="775"/>
      <c r="AG692" s="773" t="s">
        <v>85</v>
      </c>
      <c r="AH692" s="774"/>
      <c r="AI692" s="774"/>
      <c r="AJ692" s="775"/>
      <c r="AK692" s="773" t="s">
        <v>86</v>
      </c>
      <c r="AL692" s="774"/>
      <c r="AM692" s="774"/>
      <c r="AN692" s="775"/>
      <c r="AO692" s="773" t="s">
        <v>87</v>
      </c>
      <c r="AP692" s="774"/>
      <c r="AQ692" s="774"/>
      <c r="AR692" s="779"/>
    </row>
    <row r="693" spans="3:44" ht="18" customHeight="1">
      <c r="C693" s="795"/>
      <c r="D693" s="777"/>
      <c r="E693" s="778"/>
      <c r="F693" s="776"/>
      <c r="G693" s="777"/>
      <c r="H693" s="777"/>
      <c r="I693" s="777"/>
      <c r="J693" s="777"/>
      <c r="K693" s="777"/>
      <c r="L693" s="777"/>
      <c r="M693" s="777"/>
      <c r="N693" s="777"/>
      <c r="O693" s="777"/>
      <c r="P693" s="777"/>
      <c r="Q693" s="777"/>
      <c r="R693" s="777"/>
      <c r="S693" s="777"/>
      <c r="T693" s="777"/>
      <c r="U693" s="777"/>
      <c r="V693" s="777"/>
      <c r="W693" s="777"/>
      <c r="X693" s="777"/>
      <c r="Y693" s="777"/>
      <c r="Z693" s="777"/>
      <c r="AA693" s="777"/>
      <c r="AB693" s="778"/>
      <c r="AC693" s="776"/>
      <c r="AD693" s="777"/>
      <c r="AE693" s="777"/>
      <c r="AF693" s="778"/>
      <c r="AG693" s="776"/>
      <c r="AH693" s="777"/>
      <c r="AI693" s="777"/>
      <c r="AJ693" s="778"/>
      <c r="AK693" s="776"/>
      <c r="AL693" s="777"/>
      <c r="AM693" s="777"/>
      <c r="AN693" s="778"/>
      <c r="AO693" s="776"/>
      <c r="AP693" s="777"/>
      <c r="AQ693" s="777"/>
      <c r="AR693" s="780"/>
    </row>
    <row r="694" spans="3:44" ht="18" customHeight="1">
      <c r="C694" s="781" t="s">
        <v>366</v>
      </c>
      <c r="D694" s="782"/>
      <c r="E694" s="783"/>
      <c r="F694" s="493" t="s">
        <v>676</v>
      </c>
      <c r="G694" s="493"/>
      <c r="H694" s="493"/>
      <c r="I694" s="493"/>
      <c r="J694" s="493"/>
      <c r="K694" s="493"/>
      <c r="L694" s="493"/>
      <c r="M694" s="493"/>
      <c r="N694" s="493"/>
      <c r="O694" s="493"/>
      <c r="P694" s="493"/>
      <c r="Q694" s="493"/>
      <c r="R694" s="493"/>
      <c r="S694" s="493"/>
      <c r="T694" s="493"/>
      <c r="U694" s="493"/>
      <c r="V694" s="493"/>
      <c r="W694" s="493"/>
      <c r="X694" s="493"/>
      <c r="Y694" s="493"/>
      <c r="Z694" s="493"/>
      <c r="AA694" s="493"/>
      <c r="AB694" s="493"/>
      <c r="AC694" s="471" t="s">
        <v>246</v>
      </c>
      <c r="AD694" s="803"/>
      <c r="AE694" s="803"/>
      <c r="AF694" s="871"/>
      <c r="AG694" s="491">
        <v>2.73</v>
      </c>
      <c r="AH694" s="491"/>
      <c r="AI694" s="491"/>
      <c r="AJ694" s="491"/>
      <c r="AK694" s="791">
        <v>1</v>
      </c>
      <c r="AL694" s="792"/>
      <c r="AM694" s="792"/>
      <c r="AN694" s="793"/>
      <c r="AO694" s="449">
        <f>ROUND(AG694*AK694,2)</f>
        <v>2.73</v>
      </c>
      <c r="AP694" s="449"/>
      <c r="AQ694" s="449"/>
      <c r="AR694" s="450"/>
    </row>
    <row r="695" spans="3:44" ht="18" customHeight="1">
      <c r="C695" s="758" t="s">
        <v>1382</v>
      </c>
      <c r="D695" s="759"/>
      <c r="E695" s="760"/>
      <c r="F695" s="796" t="s">
        <v>471</v>
      </c>
      <c r="G695" s="797"/>
      <c r="H695" s="797"/>
      <c r="I695" s="797"/>
      <c r="J695" s="797"/>
      <c r="K695" s="797"/>
      <c r="L695" s="797"/>
      <c r="M695" s="797"/>
      <c r="N695" s="797"/>
      <c r="O695" s="797"/>
      <c r="P695" s="797"/>
      <c r="Q695" s="797"/>
      <c r="R695" s="797"/>
      <c r="S695" s="797"/>
      <c r="T695" s="797"/>
      <c r="U695" s="797"/>
      <c r="V695" s="797"/>
      <c r="W695" s="797"/>
      <c r="X695" s="797"/>
      <c r="Y695" s="797"/>
      <c r="Z695" s="797"/>
      <c r="AA695" s="797"/>
      <c r="AB695" s="798"/>
      <c r="AC695" s="799" t="s">
        <v>246</v>
      </c>
      <c r="AD695" s="800"/>
      <c r="AE695" s="800"/>
      <c r="AF695" s="801"/>
      <c r="AG695" s="466">
        <f>VLOOKUP(C695,[4]MATERIAL!A$1:D$65536,4,FALSE)</f>
        <v>8.84</v>
      </c>
      <c r="AH695" s="467"/>
      <c r="AI695" s="467"/>
      <c r="AJ695" s="468"/>
      <c r="AK695" s="737">
        <v>0.15</v>
      </c>
      <c r="AL695" s="738"/>
      <c r="AM695" s="738"/>
      <c r="AN695" s="739"/>
      <c r="AO695" s="449">
        <f>ROUND(AG695*AK695,2)</f>
        <v>1.33</v>
      </c>
      <c r="AP695" s="449"/>
      <c r="AQ695" s="449"/>
      <c r="AR695" s="450"/>
    </row>
    <row r="696" spans="3:44" ht="18" customHeight="1">
      <c r="C696" s="758"/>
      <c r="D696" s="759"/>
      <c r="E696" s="760"/>
      <c r="F696" s="796"/>
      <c r="G696" s="797"/>
      <c r="H696" s="797"/>
      <c r="I696" s="797"/>
      <c r="J696" s="797"/>
      <c r="K696" s="797"/>
      <c r="L696" s="797"/>
      <c r="M696" s="797"/>
      <c r="N696" s="797"/>
      <c r="O696" s="797"/>
      <c r="P696" s="797"/>
      <c r="Q696" s="797"/>
      <c r="R696" s="797"/>
      <c r="S696" s="797"/>
      <c r="T696" s="797"/>
      <c r="U696" s="797"/>
      <c r="V696" s="797"/>
      <c r="W696" s="797"/>
      <c r="X696" s="797"/>
      <c r="Y696" s="797"/>
      <c r="Z696" s="797"/>
      <c r="AA696" s="797"/>
      <c r="AB696" s="798"/>
      <c r="AC696" s="799"/>
      <c r="AD696" s="800"/>
      <c r="AE696" s="800"/>
      <c r="AF696" s="801"/>
      <c r="AG696" s="466"/>
      <c r="AH696" s="467"/>
      <c r="AI696" s="467"/>
      <c r="AJ696" s="468"/>
      <c r="AK696" s="737"/>
      <c r="AL696" s="738"/>
      <c r="AM696" s="738"/>
      <c r="AN696" s="739"/>
      <c r="AO696" s="740"/>
      <c r="AP696" s="741"/>
      <c r="AQ696" s="741"/>
      <c r="AR696" s="742"/>
    </row>
    <row r="697" spans="3:44" ht="18" customHeight="1">
      <c r="C697" s="758"/>
      <c r="D697" s="759"/>
      <c r="E697" s="760"/>
      <c r="F697" s="796">
        <v>0</v>
      </c>
      <c r="G697" s="797"/>
      <c r="H697" s="797"/>
      <c r="I697" s="797"/>
      <c r="J697" s="797"/>
      <c r="K697" s="797"/>
      <c r="L697" s="797"/>
      <c r="M697" s="797"/>
      <c r="N697" s="797"/>
      <c r="O697" s="797"/>
      <c r="P697" s="797"/>
      <c r="Q697" s="797"/>
      <c r="R697" s="797"/>
      <c r="S697" s="797"/>
      <c r="T697" s="797"/>
      <c r="U697" s="797"/>
      <c r="V697" s="797"/>
      <c r="W697" s="797"/>
      <c r="X697" s="797"/>
      <c r="Y697" s="797"/>
      <c r="Z697" s="797"/>
      <c r="AA697" s="797"/>
      <c r="AB697" s="798"/>
      <c r="AC697" s="799"/>
      <c r="AD697" s="800"/>
      <c r="AE697" s="800"/>
      <c r="AF697" s="801"/>
      <c r="AG697" s="466"/>
      <c r="AH697" s="467"/>
      <c r="AI697" s="467"/>
      <c r="AJ697" s="468"/>
      <c r="AK697" s="737"/>
      <c r="AL697" s="738"/>
      <c r="AM697" s="738"/>
      <c r="AN697" s="739"/>
      <c r="AO697" s="740"/>
      <c r="AP697" s="741"/>
      <c r="AQ697" s="741"/>
      <c r="AR697" s="742"/>
    </row>
    <row r="698" spans="3:44" ht="18" customHeight="1">
      <c r="C698" s="758"/>
      <c r="D698" s="759"/>
      <c r="E698" s="760"/>
      <c r="F698" s="796">
        <v>0</v>
      </c>
      <c r="G698" s="797"/>
      <c r="H698" s="797"/>
      <c r="I698" s="797"/>
      <c r="J698" s="797"/>
      <c r="K698" s="797"/>
      <c r="L698" s="797"/>
      <c r="M698" s="797"/>
      <c r="N698" s="797"/>
      <c r="O698" s="797"/>
      <c r="P698" s="797"/>
      <c r="Q698" s="797"/>
      <c r="R698" s="797"/>
      <c r="S698" s="797"/>
      <c r="T698" s="797"/>
      <c r="U698" s="797"/>
      <c r="V698" s="797"/>
      <c r="W698" s="797"/>
      <c r="X698" s="797"/>
      <c r="Y698" s="797"/>
      <c r="Z698" s="797"/>
      <c r="AA698" s="797"/>
      <c r="AB698" s="798"/>
      <c r="AC698" s="799">
        <v>0</v>
      </c>
      <c r="AD698" s="800"/>
      <c r="AE698" s="800"/>
      <c r="AF698" s="801"/>
      <c r="AG698" s="466">
        <v>0</v>
      </c>
      <c r="AH698" s="467"/>
      <c r="AI698" s="467"/>
      <c r="AJ698" s="468"/>
      <c r="AK698" s="737"/>
      <c r="AL698" s="738"/>
      <c r="AM698" s="738"/>
      <c r="AN698" s="739"/>
      <c r="AO698" s="740">
        <f>ROUND(AG698*AK698,2)</f>
        <v>0</v>
      </c>
      <c r="AP698" s="741"/>
      <c r="AQ698" s="741"/>
      <c r="AR698" s="742"/>
    </row>
    <row r="699" spans="3:44" ht="18" customHeight="1">
      <c r="C699" s="758"/>
      <c r="D699" s="759"/>
      <c r="E699" s="760"/>
      <c r="F699" s="796"/>
      <c r="G699" s="797"/>
      <c r="H699" s="797"/>
      <c r="I699" s="797"/>
      <c r="J699" s="797"/>
      <c r="K699" s="797"/>
      <c r="L699" s="797"/>
      <c r="M699" s="797"/>
      <c r="N699" s="797"/>
      <c r="O699" s="797"/>
      <c r="P699" s="797"/>
      <c r="Q699" s="797"/>
      <c r="R699" s="797"/>
      <c r="S699" s="797"/>
      <c r="T699" s="797"/>
      <c r="U699" s="797"/>
      <c r="V699" s="797"/>
      <c r="W699" s="797"/>
      <c r="X699" s="797"/>
      <c r="Y699" s="797"/>
      <c r="Z699" s="797"/>
      <c r="AA699" s="797"/>
      <c r="AB699" s="798"/>
      <c r="AC699" s="799"/>
      <c r="AD699" s="800"/>
      <c r="AE699" s="800"/>
      <c r="AF699" s="801"/>
      <c r="AG699" s="466"/>
      <c r="AH699" s="467"/>
      <c r="AI699" s="467"/>
      <c r="AJ699" s="468"/>
      <c r="AK699" s="737"/>
      <c r="AL699" s="738"/>
      <c r="AM699" s="738"/>
      <c r="AN699" s="739"/>
      <c r="AO699" s="740"/>
      <c r="AP699" s="741"/>
      <c r="AQ699" s="741"/>
      <c r="AR699" s="742"/>
    </row>
    <row r="700" spans="3:44" ht="18" customHeight="1">
      <c r="C700" s="758"/>
      <c r="D700" s="759"/>
      <c r="E700" s="760"/>
      <c r="F700" s="796"/>
      <c r="G700" s="797"/>
      <c r="H700" s="797"/>
      <c r="I700" s="797"/>
      <c r="J700" s="797"/>
      <c r="K700" s="797"/>
      <c r="L700" s="797"/>
      <c r="M700" s="797"/>
      <c r="N700" s="797"/>
      <c r="O700" s="797"/>
      <c r="P700" s="797"/>
      <c r="Q700" s="797"/>
      <c r="R700" s="797"/>
      <c r="S700" s="797"/>
      <c r="T700" s="797"/>
      <c r="U700" s="797"/>
      <c r="V700" s="797"/>
      <c r="W700" s="797"/>
      <c r="X700" s="797"/>
      <c r="Y700" s="797"/>
      <c r="Z700" s="797"/>
      <c r="AA700" s="797"/>
      <c r="AB700" s="798"/>
      <c r="AC700" s="799"/>
      <c r="AD700" s="800"/>
      <c r="AE700" s="800"/>
      <c r="AF700" s="801"/>
      <c r="AG700" s="466"/>
      <c r="AH700" s="467"/>
      <c r="AI700" s="467"/>
      <c r="AJ700" s="468"/>
      <c r="AK700" s="737"/>
      <c r="AL700" s="738"/>
      <c r="AM700" s="738"/>
      <c r="AN700" s="739"/>
      <c r="AO700" s="740"/>
      <c r="AP700" s="741"/>
      <c r="AQ700" s="741"/>
      <c r="AR700" s="742"/>
    </row>
    <row r="701" spans="3:44" ht="18" customHeight="1">
      <c r="C701" s="758"/>
      <c r="D701" s="759"/>
      <c r="E701" s="760"/>
      <c r="F701" s="796"/>
      <c r="G701" s="797"/>
      <c r="H701" s="797"/>
      <c r="I701" s="797"/>
      <c r="J701" s="797"/>
      <c r="K701" s="797"/>
      <c r="L701" s="797"/>
      <c r="M701" s="797"/>
      <c r="N701" s="797"/>
      <c r="O701" s="797"/>
      <c r="P701" s="797"/>
      <c r="Q701" s="797"/>
      <c r="R701" s="797"/>
      <c r="S701" s="797"/>
      <c r="T701" s="797"/>
      <c r="U701" s="797"/>
      <c r="V701" s="797"/>
      <c r="W701" s="797"/>
      <c r="X701" s="797"/>
      <c r="Y701" s="797"/>
      <c r="Z701" s="797"/>
      <c r="AA701" s="797"/>
      <c r="AB701" s="798"/>
      <c r="AC701" s="799"/>
      <c r="AD701" s="800"/>
      <c r="AE701" s="800"/>
      <c r="AF701" s="801"/>
      <c r="AG701" s="466"/>
      <c r="AH701" s="467"/>
      <c r="AI701" s="467"/>
      <c r="AJ701" s="468"/>
      <c r="AK701" s="737"/>
      <c r="AL701" s="738"/>
      <c r="AM701" s="738"/>
      <c r="AN701" s="739"/>
      <c r="AO701" s="740"/>
      <c r="AP701" s="741"/>
      <c r="AQ701" s="741"/>
      <c r="AR701" s="742"/>
    </row>
    <row r="702" spans="3:44" ht="18" customHeight="1">
      <c r="C702" s="743"/>
      <c r="D702" s="744"/>
      <c r="E702" s="744"/>
      <c r="F702" s="744"/>
      <c r="G702" s="744"/>
      <c r="H702" s="744"/>
      <c r="I702" s="744"/>
      <c r="J702" s="744"/>
      <c r="K702" s="744"/>
      <c r="L702" s="744"/>
      <c r="M702" s="744"/>
      <c r="N702" s="744"/>
      <c r="O702" s="744"/>
      <c r="P702" s="744"/>
      <c r="Q702" s="744"/>
      <c r="R702" s="744"/>
      <c r="S702" s="744"/>
      <c r="T702" s="744"/>
      <c r="U702" s="744"/>
      <c r="V702" s="744"/>
      <c r="W702" s="744"/>
      <c r="X702" s="744"/>
      <c r="Y702" s="745" t="s">
        <v>88</v>
      </c>
      <c r="Z702" s="745"/>
      <c r="AA702" s="745"/>
      <c r="AB702" s="745"/>
      <c r="AC702" s="745"/>
      <c r="AD702" s="745"/>
      <c r="AE702" s="745"/>
      <c r="AF702" s="745"/>
      <c r="AG702" s="745"/>
      <c r="AH702" s="745"/>
      <c r="AI702" s="745"/>
      <c r="AJ702" s="745"/>
      <c r="AK702" s="745"/>
      <c r="AL702" s="745"/>
      <c r="AM702" s="745"/>
      <c r="AN702" s="430"/>
      <c r="AO702" s="477">
        <f>SUM(AO694:AR701)</f>
        <v>4.0600000000000005</v>
      </c>
      <c r="AP702" s="746"/>
      <c r="AQ702" s="746"/>
      <c r="AR702" s="747"/>
    </row>
    <row r="704" spans="3:44" ht="18" customHeight="1">
      <c r="C704" s="794" t="s">
        <v>43</v>
      </c>
      <c r="D704" s="774"/>
      <c r="E704" s="775"/>
      <c r="F704" s="773" t="s">
        <v>89</v>
      </c>
      <c r="G704" s="774"/>
      <c r="H704" s="774"/>
      <c r="I704" s="774"/>
      <c r="J704" s="774"/>
      <c r="K704" s="774"/>
      <c r="L704" s="774"/>
      <c r="M704" s="774"/>
      <c r="N704" s="774"/>
      <c r="O704" s="774"/>
      <c r="P704" s="774"/>
      <c r="Q704" s="774"/>
      <c r="R704" s="775"/>
      <c r="S704" s="773" t="s">
        <v>90</v>
      </c>
      <c r="T704" s="774"/>
      <c r="U704" s="775"/>
      <c r="V704" s="773" t="s">
        <v>91</v>
      </c>
      <c r="W704" s="774"/>
      <c r="X704" s="775"/>
      <c r="Y704" s="773" t="s">
        <v>92</v>
      </c>
      <c r="Z704" s="774"/>
      <c r="AA704" s="774"/>
      <c r="AB704" s="774"/>
      <c r="AC704" s="774"/>
      <c r="AD704" s="775"/>
      <c r="AE704" s="773" t="s">
        <v>93</v>
      </c>
      <c r="AF704" s="774"/>
      <c r="AG704" s="775"/>
      <c r="AH704" s="773" t="s">
        <v>94</v>
      </c>
      <c r="AI704" s="774"/>
      <c r="AJ704" s="775"/>
      <c r="AK704" s="773" t="s">
        <v>86</v>
      </c>
      <c r="AL704" s="774"/>
      <c r="AM704" s="774"/>
      <c r="AN704" s="775"/>
      <c r="AO704" s="773" t="s">
        <v>87</v>
      </c>
      <c r="AP704" s="774"/>
      <c r="AQ704" s="774"/>
      <c r="AR704" s="779"/>
    </row>
    <row r="705" spans="1:44" ht="18" customHeight="1">
      <c r="C705" s="795"/>
      <c r="D705" s="777"/>
      <c r="E705" s="778"/>
      <c r="F705" s="776"/>
      <c r="G705" s="777"/>
      <c r="H705" s="777"/>
      <c r="I705" s="777"/>
      <c r="J705" s="777"/>
      <c r="K705" s="777"/>
      <c r="L705" s="777"/>
      <c r="M705" s="777"/>
      <c r="N705" s="777"/>
      <c r="O705" s="777"/>
      <c r="P705" s="777"/>
      <c r="Q705" s="777"/>
      <c r="R705" s="778"/>
      <c r="S705" s="776"/>
      <c r="T705" s="777"/>
      <c r="U705" s="778"/>
      <c r="V705" s="776"/>
      <c r="W705" s="777"/>
      <c r="X705" s="778"/>
      <c r="Y705" s="776"/>
      <c r="Z705" s="777"/>
      <c r="AA705" s="777"/>
      <c r="AB705" s="777"/>
      <c r="AC705" s="777"/>
      <c r="AD705" s="778"/>
      <c r="AE705" s="776"/>
      <c r="AF705" s="777"/>
      <c r="AG705" s="778"/>
      <c r="AH705" s="776"/>
      <c r="AI705" s="777"/>
      <c r="AJ705" s="778"/>
      <c r="AK705" s="776"/>
      <c r="AL705" s="777"/>
      <c r="AM705" s="777"/>
      <c r="AN705" s="778"/>
      <c r="AO705" s="776"/>
      <c r="AP705" s="777"/>
      <c r="AQ705" s="777"/>
      <c r="AR705" s="780"/>
    </row>
    <row r="706" spans="1:44" ht="18" customHeight="1">
      <c r="C706" s="781"/>
      <c r="D706" s="782"/>
      <c r="E706" s="783"/>
      <c r="F706" s="457"/>
      <c r="G706" s="457"/>
      <c r="H706" s="457"/>
      <c r="I706" s="457"/>
      <c r="J706" s="457"/>
      <c r="K706" s="457"/>
      <c r="L706" s="457"/>
      <c r="M706" s="457"/>
      <c r="N706" s="457"/>
      <c r="O706" s="457"/>
      <c r="P706" s="457"/>
      <c r="Q706" s="457"/>
      <c r="R706" s="457"/>
      <c r="S706" s="784"/>
      <c r="T706" s="785"/>
      <c r="U706" s="786"/>
      <c r="V706" s="784"/>
      <c r="W706" s="785"/>
      <c r="X706" s="786"/>
      <c r="Y706" s="787"/>
      <c r="Z706" s="788"/>
      <c r="AA706" s="788"/>
      <c r="AB706" s="788"/>
      <c r="AC706" s="788"/>
      <c r="AD706" s="789"/>
      <c r="AE706" s="449"/>
      <c r="AF706" s="449"/>
      <c r="AG706" s="449"/>
      <c r="AH706" s="770"/>
      <c r="AI706" s="771"/>
      <c r="AJ706" s="790"/>
      <c r="AK706" s="791"/>
      <c r="AL706" s="792"/>
      <c r="AM706" s="792"/>
      <c r="AN706" s="793"/>
      <c r="AO706" s="770"/>
      <c r="AP706" s="771"/>
      <c r="AQ706" s="771"/>
      <c r="AR706" s="772"/>
    </row>
    <row r="707" spans="1:44" ht="18" customHeight="1">
      <c r="C707" s="758"/>
      <c r="D707" s="759"/>
      <c r="E707" s="760"/>
      <c r="F707" s="761"/>
      <c r="G707" s="762"/>
      <c r="H707" s="762"/>
      <c r="I707" s="762"/>
      <c r="J707" s="762"/>
      <c r="K707" s="762"/>
      <c r="L707" s="762"/>
      <c r="M707" s="762"/>
      <c r="N707" s="762"/>
      <c r="O707" s="762"/>
      <c r="P707" s="762"/>
      <c r="Q707" s="762"/>
      <c r="R707" s="763"/>
      <c r="S707" s="764"/>
      <c r="T707" s="765"/>
      <c r="U707" s="766"/>
      <c r="V707" s="764"/>
      <c r="W707" s="765"/>
      <c r="X707" s="766"/>
      <c r="Y707" s="767"/>
      <c r="Z707" s="768"/>
      <c r="AA707" s="768"/>
      <c r="AB707" s="768"/>
      <c r="AC707" s="768"/>
      <c r="AD707" s="769"/>
      <c r="AE707" s="740"/>
      <c r="AF707" s="741"/>
      <c r="AG707" s="757"/>
      <c r="AH707" s="740"/>
      <c r="AI707" s="741"/>
      <c r="AJ707" s="757"/>
      <c r="AK707" s="737"/>
      <c r="AL707" s="738"/>
      <c r="AM707" s="738"/>
      <c r="AN707" s="739"/>
      <c r="AO707" s="740">
        <f t="shared" ref="AO707:AO713" si="9">ROUND(AE707*AH707*AK707,2)</f>
        <v>0</v>
      </c>
      <c r="AP707" s="741"/>
      <c r="AQ707" s="741"/>
      <c r="AR707" s="742"/>
    </row>
    <row r="708" spans="1:44" ht="18" customHeight="1">
      <c r="C708" s="758"/>
      <c r="D708" s="759"/>
      <c r="E708" s="760"/>
      <c r="F708" s="761"/>
      <c r="G708" s="762"/>
      <c r="H708" s="762"/>
      <c r="I708" s="762"/>
      <c r="J708" s="762"/>
      <c r="K708" s="762"/>
      <c r="L708" s="762"/>
      <c r="M708" s="762"/>
      <c r="N708" s="762"/>
      <c r="O708" s="762"/>
      <c r="P708" s="762"/>
      <c r="Q708" s="762"/>
      <c r="R708" s="763"/>
      <c r="S708" s="764"/>
      <c r="T708" s="765"/>
      <c r="U708" s="766"/>
      <c r="V708" s="764"/>
      <c r="W708" s="765"/>
      <c r="X708" s="766"/>
      <c r="Y708" s="767"/>
      <c r="Z708" s="768"/>
      <c r="AA708" s="768"/>
      <c r="AB708" s="768"/>
      <c r="AC708" s="768"/>
      <c r="AD708" s="769"/>
      <c r="AE708" s="740"/>
      <c r="AF708" s="741"/>
      <c r="AG708" s="757"/>
      <c r="AH708" s="740"/>
      <c r="AI708" s="741"/>
      <c r="AJ708" s="757"/>
      <c r="AK708" s="737"/>
      <c r="AL708" s="738"/>
      <c r="AM708" s="738"/>
      <c r="AN708" s="739"/>
      <c r="AO708" s="740">
        <f t="shared" si="9"/>
        <v>0</v>
      </c>
      <c r="AP708" s="741"/>
      <c r="AQ708" s="741"/>
      <c r="AR708" s="742"/>
    </row>
    <row r="709" spans="1:44" ht="18" customHeight="1">
      <c r="C709" s="758"/>
      <c r="D709" s="759"/>
      <c r="E709" s="760"/>
      <c r="F709" s="761"/>
      <c r="G709" s="762"/>
      <c r="H709" s="762"/>
      <c r="I709" s="762"/>
      <c r="J709" s="762"/>
      <c r="K709" s="762"/>
      <c r="L709" s="762"/>
      <c r="M709" s="762"/>
      <c r="N709" s="762"/>
      <c r="O709" s="762"/>
      <c r="P709" s="762"/>
      <c r="Q709" s="762"/>
      <c r="R709" s="763"/>
      <c r="S709" s="764"/>
      <c r="T709" s="765"/>
      <c r="U709" s="766"/>
      <c r="V709" s="764"/>
      <c r="W709" s="765"/>
      <c r="X709" s="766"/>
      <c r="Y709" s="767"/>
      <c r="Z709" s="768"/>
      <c r="AA709" s="768"/>
      <c r="AB709" s="768"/>
      <c r="AC709" s="768"/>
      <c r="AD709" s="769"/>
      <c r="AE709" s="740"/>
      <c r="AF709" s="741"/>
      <c r="AG709" s="757"/>
      <c r="AH709" s="740"/>
      <c r="AI709" s="741"/>
      <c r="AJ709" s="757"/>
      <c r="AK709" s="737"/>
      <c r="AL709" s="738"/>
      <c r="AM709" s="738"/>
      <c r="AN709" s="739"/>
      <c r="AO709" s="740">
        <f t="shared" si="9"/>
        <v>0</v>
      </c>
      <c r="AP709" s="741"/>
      <c r="AQ709" s="741"/>
      <c r="AR709" s="742"/>
    </row>
    <row r="710" spans="1:44" ht="18" customHeight="1">
      <c r="C710" s="758"/>
      <c r="D710" s="759"/>
      <c r="E710" s="760"/>
      <c r="F710" s="761"/>
      <c r="G710" s="762"/>
      <c r="H710" s="762"/>
      <c r="I710" s="762"/>
      <c r="J710" s="762"/>
      <c r="K710" s="762"/>
      <c r="L710" s="762"/>
      <c r="M710" s="762"/>
      <c r="N710" s="762"/>
      <c r="O710" s="762"/>
      <c r="P710" s="762"/>
      <c r="Q710" s="762"/>
      <c r="R710" s="763"/>
      <c r="S710" s="764"/>
      <c r="T710" s="765"/>
      <c r="U710" s="766"/>
      <c r="V710" s="764"/>
      <c r="W710" s="765"/>
      <c r="X710" s="766"/>
      <c r="Y710" s="767"/>
      <c r="Z710" s="768"/>
      <c r="AA710" s="768"/>
      <c r="AB710" s="768"/>
      <c r="AC710" s="768"/>
      <c r="AD710" s="769"/>
      <c r="AE710" s="740"/>
      <c r="AF710" s="741"/>
      <c r="AG710" s="757"/>
      <c r="AH710" s="740"/>
      <c r="AI710" s="741"/>
      <c r="AJ710" s="757"/>
      <c r="AK710" s="737"/>
      <c r="AL710" s="738"/>
      <c r="AM710" s="738"/>
      <c r="AN710" s="739"/>
      <c r="AO710" s="740">
        <f t="shared" si="9"/>
        <v>0</v>
      </c>
      <c r="AP710" s="741"/>
      <c r="AQ710" s="741"/>
      <c r="AR710" s="742"/>
    </row>
    <row r="711" spans="1:44" ht="18" customHeight="1">
      <c r="C711" s="758"/>
      <c r="D711" s="759"/>
      <c r="E711" s="760"/>
      <c r="F711" s="761"/>
      <c r="G711" s="762"/>
      <c r="H711" s="762"/>
      <c r="I711" s="762"/>
      <c r="J711" s="762"/>
      <c r="K711" s="762"/>
      <c r="L711" s="762"/>
      <c r="M711" s="762"/>
      <c r="N711" s="762"/>
      <c r="O711" s="762"/>
      <c r="P711" s="762"/>
      <c r="Q711" s="762"/>
      <c r="R711" s="763"/>
      <c r="S711" s="764"/>
      <c r="T711" s="765"/>
      <c r="U711" s="766"/>
      <c r="V711" s="764"/>
      <c r="W711" s="765"/>
      <c r="X711" s="766"/>
      <c r="Y711" s="767"/>
      <c r="Z711" s="768"/>
      <c r="AA711" s="768"/>
      <c r="AB711" s="768"/>
      <c r="AC711" s="768"/>
      <c r="AD711" s="769"/>
      <c r="AE711" s="740"/>
      <c r="AF711" s="741"/>
      <c r="AG711" s="757"/>
      <c r="AH711" s="740"/>
      <c r="AI711" s="741"/>
      <c r="AJ711" s="757"/>
      <c r="AK711" s="737"/>
      <c r="AL711" s="738"/>
      <c r="AM711" s="738"/>
      <c r="AN711" s="739"/>
      <c r="AO711" s="740">
        <f t="shared" si="9"/>
        <v>0</v>
      </c>
      <c r="AP711" s="741"/>
      <c r="AQ711" s="741"/>
      <c r="AR711" s="742"/>
    </row>
    <row r="712" spans="1:44" ht="18" customHeight="1">
      <c r="C712" s="758"/>
      <c r="D712" s="759"/>
      <c r="E712" s="760"/>
      <c r="F712" s="761"/>
      <c r="G712" s="762"/>
      <c r="H712" s="762"/>
      <c r="I712" s="762"/>
      <c r="J712" s="762"/>
      <c r="K712" s="762"/>
      <c r="L712" s="762"/>
      <c r="M712" s="762"/>
      <c r="N712" s="762"/>
      <c r="O712" s="762"/>
      <c r="P712" s="762"/>
      <c r="Q712" s="762"/>
      <c r="R712" s="763"/>
      <c r="S712" s="764"/>
      <c r="T712" s="765"/>
      <c r="U712" s="766"/>
      <c r="V712" s="764"/>
      <c r="W712" s="765"/>
      <c r="X712" s="766"/>
      <c r="Y712" s="767"/>
      <c r="Z712" s="768"/>
      <c r="AA712" s="768"/>
      <c r="AB712" s="768"/>
      <c r="AC712" s="768"/>
      <c r="AD712" s="769"/>
      <c r="AE712" s="740"/>
      <c r="AF712" s="741"/>
      <c r="AG712" s="757"/>
      <c r="AH712" s="740"/>
      <c r="AI712" s="741"/>
      <c r="AJ712" s="757"/>
      <c r="AK712" s="737"/>
      <c r="AL712" s="738"/>
      <c r="AM712" s="738"/>
      <c r="AN712" s="739"/>
      <c r="AO712" s="740">
        <f t="shared" si="9"/>
        <v>0</v>
      </c>
      <c r="AP712" s="741"/>
      <c r="AQ712" s="741"/>
      <c r="AR712" s="742"/>
    </row>
    <row r="713" spans="1:44" ht="18" customHeight="1">
      <c r="C713" s="758"/>
      <c r="D713" s="759"/>
      <c r="E713" s="760"/>
      <c r="F713" s="761"/>
      <c r="G713" s="762"/>
      <c r="H713" s="762"/>
      <c r="I713" s="762"/>
      <c r="J713" s="762"/>
      <c r="K713" s="762"/>
      <c r="L713" s="762"/>
      <c r="M713" s="762"/>
      <c r="N713" s="762"/>
      <c r="O713" s="762"/>
      <c r="P713" s="762"/>
      <c r="Q713" s="762"/>
      <c r="R713" s="763"/>
      <c r="S713" s="764"/>
      <c r="T713" s="765"/>
      <c r="U713" s="766"/>
      <c r="V713" s="764"/>
      <c r="W713" s="765"/>
      <c r="X713" s="766"/>
      <c r="Y713" s="767"/>
      <c r="Z713" s="768"/>
      <c r="AA713" s="768"/>
      <c r="AB713" s="768"/>
      <c r="AC713" s="768"/>
      <c r="AD713" s="769"/>
      <c r="AE713" s="740"/>
      <c r="AF713" s="741"/>
      <c r="AG713" s="757"/>
      <c r="AH713" s="740"/>
      <c r="AI713" s="741"/>
      <c r="AJ713" s="757"/>
      <c r="AK713" s="737"/>
      <c r="AL713" s="738"/>
      <c r="AM713" s="738"/>
      <c r="AN713" s="739"/>
      <c r="AO713" s="740">
        <f t="shared" si="9"/>
        <v>0</v>
      </c>
      <c r="AP713" s="741"/>
      <c r="AQ713" s="741"/>
      <c r="AR713" s="742"/>
    </row>
    <row r="714" spans="1:44" ht="18" customHeight="1">
      <c r="C714" s="743"/>
      <c r="D714" s="744"/>
      <c r="E714" s="744"/>
      <c r="F714" s="744"/>
      <c r="G714" s="744"/>
      <c r="H714" s="744"/>
      <c r="I714" s="744"/>
      <c r="J714" s="744"/>
      <c r="K714" s="744"/>
      <c r="L714" s="744"/>
      <c r="M714" s="744"/>
      <c r="N714" s="744"/>
      <c r="O714" s="744"/>
      <c r="P714" s="744"/>
      <c r="Q714" s="744"/>
      <c r="R714" s="744"/>
      <c r="S714" s="744"/>
      <c r="T714" s="744"/>
      <c r="U714" s="744"/>
      <c r="V714" s="744"/>
      <c r="W714" s="744"/>
      <c r="X714" s="744"/>
      <c r="Y714" s="745" t="s">
        <v>95</v>
      </c>
      <c r="Z714" s="745"/>
      <c r="AA714" s="745"/>
      <c r="AB714" s="745"/>
      <c r="AC714" s="745"/>
      <c r="AD714" s="745"/>
      <c r="AE714" s="745"/>
      <c r="AF714" s="745"/>
      <c r="AG714" s="745"/>
      <c r="AH714" s="745"/>
      <c r="AI714" s="745"/>
      <c r="AJ714" s="745"/>
      <c r="AK714" s="745"/>
      <c r="AL714" s="745"/>
      <c r="AM714" s="745"/>
      <c r="AN714" s="430"/>
      <c r="AO714" s="477">
        <f>SUM(AO706:AR713)</f>
        <v>0</v>
      </c>
      <c r="AP714" s="746"/>
      <c r="AQ714" s="746"/>
      <c r="AR714" s="747"/>
    </row>
    <row r="716" spans="1:44" ht="18" customHeight="1">
      <c r="C716" s="434"/>
      <c r="D716" s="434"/>
      <c r="E716" s="434"/>
      <c r="F716" s="434"/>
      <c r="G716" s="434"/>
      <c r="H716" s="434"/>
      <c r="I716" s="434"/>
      <c r="J716" s="434"/>
      <c r="K716" s="434"/>
      <c r="L716" s="434"/>
      <c r="M716" s="434"/>
      <c r="N716" s="434"/>
      <c r="O716" s="434"/>
      <c r="P716" s="434"/>
      <c r="Q716" s="434"/>
      <c r="R716" s="434"/>
      <c r="S716" s="434"/>
      <c r="T716" s="434"/>
      <c r="U716" s="434"/>
      <c r="V716" s="434"/>
      <c r="W716" s="434"/>
      <c r="X716" s="748"/>
      <c r="Y716" s="749" t="s">
        <v>96</v>
      </c>
      <c r="Z716" s="750"/>
      <c r="AA716" s="750"/>
      <c r="AB716" s="750"/>
      <c r="AC716" s="750"/>
      <c r="AD716" s="750"/>
      <c r="AE716" s="750"/>
      <c r="AF716" s="750"/>
      <c r="AG716" s="750"/>
      <c r="AH716" s="750"/>
      <c r="AI716" s="750"/>
      <c r="AJ716" s="750"/>
      <c r="AK716" s="750"/>
      <c r="AL716" s="750"/>
      <c r="AM716" s="750"/>
      <c r="AN716" s="751"/>
      <c r="AO716" s="752">
        <f>AO690+AO702+AO714</f>
        <v>10.57</v>
      </c>
      <c r="AP716" s="753"/>
      <c r="AQ716" s="753"/>
      <c r="AR716" s="754"/>
    </row>
    <row r="717" spans="1:44" ht="18" customHeight="1">
      <c r="C717" s="434"/>
      <c r="D717" s="434"/>
      <c r="E717" s="434"/>
      <c r="F717" s="434"/>
      <c r="G717" s="434"/>
      <c r="H717" s="434"/>
      <c r="I717" s="434"/>
      <c r="J717" s="434"/>
      <c r="K717" s="434"/>
      <c r="L717" s="434"/>
      <c r="M717" s="434"/>
      <c r="N717" s="434"/>
      <c r="O717" s="434"/>
      <c r="P717" s="434"/>
      <c r="Q717" s="434"/>
      <c r="R717" s="434"/>
      <c r="S717" s="434"/>
      <c r="T717" s="434"/>
      <c r="U717" s="434"/>
      <c r="V717" s="434"/>
      <c r="W717" s="434"/>
      <c r="X717" s="748"/>
      <c r="Y717" s="755" t="s">
        <v>97</v>
      </c>
      <c r="Z717" s="756"/>
      <c r="AA717" s="756"/>
      <c r="AB717" s="756"/>
      <c r="AC717" s="756"/>
      <c r="AD717" s="756"/>
      <c r="AE717" s="756"/>
      <c r="AF717" s="756"/>
      <c r="AG717" s="756"/>
      <c r="AH717" s="442">
        <v>0.2031</v>
      </c>
      <c r="AI717" s="442"/>
      <c r="AJ717" s="442"/>
      <c r="AK717" s="442"/>
      <c r="AL717" s="442"/>
      <c r="AM717" s="442"/>
      <c r="AN717" s="443"/>
      <c r="AO717" s="728">
        <f>ROUND(AO716*AH717,2)</f>
        <v>2.15</v>
      </c>
      <c r="AP717" s="729"/>
      <c r="AQ717" s="729"/>
      <c r="AR717" s="730"/>
    </row>
    <row r="718" spans="1:44" ht="18" customHeight="1">
      <c r="A718" s="415" t="s">
        <v>693</v>
      </c>
      <c r="B718" s="415"/>
      <c r="C718" s="434"/>
      <c r="D718" s="434"/>
      <c r="E718" s="434"/>
      <c r="F718" s="434"/>
      <c r="G718" s="434"/>
      <c r="H718" s="434"/>
      <c r="I718" s="434"/>
      <c r="J718" s="434"/>
      <c r="K718" s="434"/>
      <c r="L718" s="434"/>
      <c r="M718" s="434"/>
      <c r="N718" s="434"/>
      <c r="O718" s="434"/>
      <c r="P718" s="434"/>
      <c r="Q718" s="434"/>
      <c r="R718" s="434"/>
      <c r="S718" s="434"/>
      <c r="T718" s="434"/>
      <c r="U718" s="434"/>
      <c r="V718" s="434"/>
      <c r="W718" s="434"/>
      <c r="X718" s="748"/>
      <c r="Y718" s="731" t="s">
        <v>98</v>
      </c>
      <c r="Z718" s="732"/>
      <c r="AA718" s="732"/>
      <c r="AB718" s="732"/>
      <c r="AC718" s="732"/>
      <c r="AD718" s="732"/>
      <c r="AE718" s="732"/>
      <c r="AF718" s="732"/>
      <c r="AG718" s="732"/>
      <c r="AH718" s="732"/>
      <c r="AI718" s="732"/>
      <c r="AJ718" s="732"/>
      <c r="AK718" s="732"/>
      <c r="AL718" s="732"/>
      <c r="AM718" s="732"/>
      <c r="AN718" s="733"/>
      <c r="AO718" s="734">
        <f>SUM(AO716:AR717)</f>
        <v>12.72</v>
      </c>
      <c r="AP718" s="735"/>
      <c r="AQ718" s="735"/>
      <c r="AR718" s="736"/>
    </row>
    <row r="720" spans="1:44" ht="18" customHeight="1">
      <c r="C720" s="420" t="s">
        <v>99</v>
      </c>
      <c r="D720" s="421"/>
      <c r="E720" s="421"/>
      <c r="F720" s="421"/>
      <c r="G720" s="421"/>
      <c r="H720" s="421"/>
      <c r="I720" s="422"/>
      <c r="J720" s="422"/>
      <c r="K720" s="422"/>
      <c r="L720" s="422"/>
      <c r="M720" s="422"/>
      <c r="N720" s="422"/>
      <c r="O720" s="422"/>
      <c r="P720" s="422"/>
      <c r="Q720" s="422"/>
      <c r="R720" s="422"/>
      <c r="S720" s="422"/>
      <c r="T720" s="422"/>
      <c r="U720" s="422"/>
      <c r="V720" s="422"/>
      <c r="W720" s="422"/>
      <c r="X720" s="422"/>
      <c r="Y720" s="422"/>
      <c r="Z720" s="422"/>
      <c r="AA720" s="422"/>
      <c r="AB720" s="422"/>
      <c r="AC720" s="422"/>
      <c r="AD720" s="422"/>
      <c r="AE720" s="422"/>
      <c r="AF720" s="422"/>
      <c r="AG720" s="422"/>
      <c r="AH720" s="422"/>
      <c r="AI720" s="422"/>
      <c r="AJ720" s="422"/>
      <c r="AK720" s="422"/>
      <c r="AL720" s="422"/>
      <c r="AM720" s="422"/>
      <c r="AN720" s="422"/>
      <c r="AO720" s="422"/>
      <c r="AP720" s="422"/>
      <c r="AQ720" s="422"/>
      <c r="AR720" s="423"/>
    </row>
    <row r="721" spans="3:44" ht="18" customHeight="1">
      <c r="C721" s="411"/>
      <c r="D721" s="412"/>
      <c r="E721" s="412"/>
      <c r="F721" s="412"/>
      <c r="G721" s="412"/>
      <c r="H721" s="412"/>
      <c r="I721" s="409"/>
      <c r="J721" s="409"/>
      <c r="K721" s="409"/>
      <c r="L721" s="409"/>
      <c r="M721" s="409"/>
      <c r="N721" s="409"/>
      <c r="O721" s="409"/>
      <c r="P721" s="409"/>
      <c r="Q721" s="409"/>
      <c r="R721" s="409"/>
      <c r="S721" s="409"/>
      <c r="T721" s="409"/>
      <c r="U721" s="409"/>
      <c r="V721" s="409"/>
      <c r="W721" s="409"/>
      <c r="X721" s="409"/>
      <c r="Y721" s="409"/>
      <c r="Z721" s="409"/>
      <c r="AA721" s="409"/>
      <c r="AB721" s="409"/>
      <c r="AC721" s="409"/>
      <c r="AD721" s="409"/>
      <c r="AE721" s="409"/>
      <c r="AF721" s="409"/>
      <c r="AG721" s="409"/>
      <c r="AH721" s="409"/>
      <c r="AI721" s="409"/>
      <c r="AJ721" s="409"/>
      <c r="AK721" s="409"/>
      <c r="AL721" s="409"/>
      <c r="AM721" s="409"/>
      <c r="AN721" s="409"/>
      <c r="AO721" s="409"/>
      <c r="AP721" s="409"/>
      <c r="AQ721" s="409"/>
      <c r="AR721" s="410"/>
    </row>
    <row r="722" spans="3:44" ht="18" customHeight="1">
      <c r="C722" s="411"/>
      <c r="D722" s="412"/>
      <c r="E722" s="412"/>
      <c r="F722" s="412"/>
      <c r="G722" s="412"/>
      <c r="H722" s="412"/>
      <c r="I722" s="409"/>
      <c r="J722" s="409"/>
      <c r="K722" s="409"/>
      <c r="L722" s="409"/>
      <c r="M722" s="409"/>
      <c r="N722" s="409"/>
      <c r="O722" s="409"/>
      <c r="P722" s="409"/>
      <c r="Q722" s="409"/>
      <c r="R722" s="409"/>
      <c r="S722" s="409"/>
      <c r="T722" s="409"/>
      <c r="U722" s="409"/>
      <c r="V722" s="409"/>
      <c r="W722" s="409"/>
      <c r="X722" s="409"/>
      <c r="Y722" s="409"/>
      <c r="Z722" s="409"/>
      <c r="AA722" s="409"/>
      <c r="AB722" s="409"/>
      <c r="AC722" s="409"/>
      <c r="AD722" s="409"/>
      <c r="AE722" s="409"/>
      <c r="AF722" s="409"/>
      <c r="AG722" s="409"/>
      <c r="AH722" s="409"/>
      <c r="AI722" s="409"/>
      <c r="AJ722" s="409"/>
      <c r="AK722" s="409"/>
      <c r="AL722" s="409"/>
      <c r="AM722" s="409"/>
      <c r="AN722" s="409"/>
      <c r="AO722" s="409"/>
      <c r="AP722" s="409"/>
      <c r="AQ722" s="409"/>
      <c r="AR722" s="410"/>
    </row>
    <row r="723" spans="3:44" ht="18" customHeight="1">
      <c r="C723" s="411"/>
      <c r="D723" s="412"/>
      <c r="E723" s="412"/>
      <c r="F723" s="412"/>
      <c r="G723" s="412"/>
      <c r="H723" s="412"/>
      <c r="I723" s="409"/>
      <c r="J723" s="409"/>
      <c r="K723" s="409"/>
      <c r="L723" s="409"/>
      <c r="M723" s="409"/>
      <c r="N723" s="409"/>
      <c r="O723" s="409"/>
      <c r="P723" s="409"/>
      <c r="Q723" s="409"/>
      <c r="R723" s="409"/>
      <c r="S723" s="409"/>
      <c r="T723" s="409"/>
      <c r="U723" s="409"/>
      <c r="V723" s="409"/>
      <c r="W723" s="409"/>
      <c r="X723" s="409"/>
      <c r="Y723" s="409"/>
      <c r="Z723" s="409"/>
      <c r="AA723" s="409"/>
      <c r="AB723" s="409"/>
      <c r="AC723" s="409"/>
      <c r="AD723" s="409"/>
      <c r="AE723" s="409"/>
      <c r="AF723" s="409"/>
      <c r="AG723" s="409"/>
      <c r="AH723" s="409"/>
      <c r="AI723" s="409"/>
      <c r="AJ723" s="409"/>
      <c r="AK723" s="409"/>
      <c r="AL723" s="409"/>
      <c r="AM723" s="409"/>
      <c r="AN723" s="409"/>
      <c r="AO723" s="409"/>
      <c r="AP723" s="409"/>
      <c r="AQ723" s="409"/>
      <c r="AR723" s="410"/>
    </row>
    <row r="724" spans="3:44" ht="18" customHeight="1">
      <c r="C724" s="411"/>
      <c r="D724" s="412"/>
      <c r="E724" s="412"/>
      <c r="F724" s="412"/>
      <c r="G724" s="412"/>
      <c r="H724" s="412"/>
      <c r="I724" s="409"/>
      <c r="J724" s="409"/>
      <c r="K724" s="409"/>
      <c r="L724" s="409"/>
      <c r="M724" s="409"/>
      <c r="N724" s="409"/>
      <c r="O724" s="409"/>
      <c r="P724" s="409"/>
      <c r="Q724" s="409"/>
      <c r="R724" s="409"/>
      <c r="S724" s="409"/>
      <c r="T724" s="409"/>
      <c r="U724" s="409"/>
      <c r="V724" s="409"/>
      <c r="W724" s="409"/>
      <c r="X724" s="409"/>
      <c r="Y724" s="409"/>
      <c r="Z724" s="409"/>
      <c r="AA724" s="409"/>
      <c r="AB724" s="409"/>
      <c r="AC724" s="409"/>
      <c r="AD724" s="409"/>
      <c r="AE724" s="409"/>
      <c r="AF724" s="409"/>
      <c r="AG724" s="409"/>
      <c r="AH724" s="409"/>
      <c r="AI724" s="409"/>
      <c r="AJ724" s="409"/>
      <c r="AK724" s="409"/>
      <c r="AL724" s="409"/>
      <c r="AM724" s="409"/>
      <c r="AN724" s="409"/>
      <c r="AO724" s="409"/>
      <c r="AP724" s="409"/>
      <c r="AQ724" s="409"/>
      <c r="AR724" s="410"/>
    </row>
    <row r="725" spans="3:44" ht="18" customHeight="1">
      <c r="C725" s="385"/>
      <c r="D725" s="386"/>
      <c r="E725" s="386"/>
      <c r="F725" s="386"/>
      <c r="G725" s="386"/>
      <c r="H725" s="386"/>
      <c r="I725" s="387"/>
      <c r="J725" s="387"/>
      <c r="K725" s="387"/>
      <c r="L725" s="387"/>
      <c r="M725" s="387"/>
      <c r="N725" s="387"/>
      <c r="O725" s="387"/>
      <c r="P725" s="387"/>
      <c r="Q725" s="387"/>
      <c r="R725" s="387"/>
      <c r="S725" s="387"/>
      <c r="T725" s="387"/>
      <c r="U725" s="387"/>
      <c r="V725" s="387"/>
      <c r="W725" s="387"/>
      <c r="X725" s="387"/>
      <c r="Y725" s="387"/>
      <c r="Z725" s="387"/>
      <c r="AA725" s="387"/>
      <c r="AB725" s="387"/>
      <c r="AC725" s="387"/>
      <c r="AD725" s="387"/>
      <c r="AE725" s="387"/>
      <c r="AF725" s="387"/>
      <c r="AG725" s="387"/>
      <c r="AH725" s="387"/>
      <c r="AI725" s="387"/>
      <c r="AJ725" s="387"/>
      <c r="AK725" s="387"/>
      <c r="AL725" s="387"/>
      <c r="AM725" s="387"/>
      <c r="AN725" s="387"/>
      <c r="AO725" s="387"/>
      <c r="AP725" s="387"/>
      <c r="AQ725" s="387"/>
      <c r="AR725" s="388"/>
    </row>
    <row r="727" spans="3:44" ht="18" customHeight="1">
      <c r="C727" s="389" t="s">
        <v>100</v>
      </c>
      <c r="D727" s="390"/>
      <c r="E727" s="390"/>
      <c r="F727" s="390"/>
      <c r="G727" s="390"/>
      <c r="H727" s="390"/>
      <c r="I727" s="390"/>
      <c r="J727" s="390"/>
      <c r="K727" s="390"/>
      <c r="L727" s="390"/>
      <c r="M727" s="390"/>
      <c r="N727" s="390"/>
      <c r="O727" s="390"/>
      <c r="P727" s="390"/>
      <c r="Q727" s="390"/>
      <c r="R727" s="390"/>
      <c r="S727" s="390"/>
      <c r="T727" s="390"/>
      <c r="U727" s="390"/>
      <c r="V727" s="390"/>
      <c r="W727" s="390"/>
      <c r="X727" s="390"/>
      <c r="Y727" s="390"/>
      <c r="Z727" s="390"/>
      <c r="AA727" s="391"/>
      <c r="AB727" s="392" t="str">
        <f>[4]C.UNIT.SERV.!$E$5</f>
        <v>DATA-BASE:      MAIO/2011/PR</v>
      </c>
      <c r="AC727" s="393"/>
      <c r="AD727" s="393"/>
      <c r="AE727" s="393"/>
      <c r="AF727" s="393"/>
      <c r="AG727" s="393"/>
      <c r="AH727" s="393"/>
      <c r="AI727" s="394"/>
      <c r="AJ727" s="392"/>
      <c r="AK727" s="393"/>
      <c r="AL727" s="393"/>
      <c r="AM727" s="393"/>
      <c r="AN727" s="393"/>
      <c r="AO727" s="393"/>
      <c r="AP727" s="393"/>
      <c r="AQ727" s="393"/>
      <c r="AR727" s="401"/>
    </row>
    <row r="728" spans="3:44" ht="18" customHeight="1">
      <c r="C728" s="404" t="s">
        <v>101</v>
      </c>
      <c r="D728" s="405"/>
      <c r="E728" s="405"/>
      <c r="F728" s="405"/>
      <c r="G728" s="405" t="s">
        <v>283</v>
      </c>
      <c r="H728" s="405"/>
      <c r="I728" s="405"/>
      <c r="J728" s="405"/>
      <c r="K728" s="405"/>
      <c r="L728" s="405"/>
      <c r="M728" s="405"/>
      <c r="N728" s="405"/>
      <c r="O728" s="405"/>
      <c r="P728" s="405"/>
      <c r="Q728" s="405"/>
      <c r="R728" s="405"/>
      <c r="S728" s="405"/>
      <c r="T728" s="405"/>
      <c r="U728" s="405"/>
      <c r="V728" s="405"/>
      <c r="W728" s="405"/>
      <c r="X728" s="405"/>
      <c r="Y728" s="405"/>
      <c r="Z728" s="405"/>
      <c r="AA728" s="406"/>
      <c r="AB728" s="395"/>
      <c r="AC728" s="396"/>
      <c r="AD728" s="396"/>
      <c r="AE728" s="396"/>
      <c r="AF728" s="396"/>
      <c r="AG728" s="396"/>
      <c r="AH728" s="396"/>
      <c r="AI728" s="397"/>
      <c r="AJ728" s="395"/>
      <c r="AK728" s="396"/>
      <c r="AL728" s="396"/>
      <c r="AM728" s="396"/>
      <c r="AN728" s="396"/>
      <c r="AO728" s="396"/>
      <c r="AP728" s="396"/>
      <c r="AQ728" s="396"/>
      <c r="AR728" s="402"/>
    </row>
    <row r="729" spans="3:44" ht="18" customHeight="1">
      <c r="C729" s="404" t="s">
        <v>102</v>
      </c>
      <c r="D729" s="405"/>
      <c r="E729" s="405"/>
      <c r="F729" s="405"/>
      <c r="G729" s="405"/>
      <c r="H729" s="405"/>
      <c r="I729" s="405"/>
      <c r="J729" s="405"/>
      <c r="K729" s="405"/>
      <c r="L729" s="405"/>
      <c r="M729" s="405"/>
      <c r="N729" s="405"/>
      <c r="O729" s="405"/>
      <c r="P729" s="405"/>
      <c r="Q729" s="405"/>
      <c r="R729" s="405"/>
      <c r="S729" s="405"/>
      <c r="T729" s="405"/>
      <c r="U729" s="405"/>
      <c r="V729" s="405"/>
      <c r="W729" s="405"/>
      <c r="X729" s="405"/>
      <c r="Y729" s="405"/>
      <c r="Z729" s="405"/>
      <c r="AA729" s="406"/>
      <c r="AB729" s="395"/>
      <c r="AC729" s="396"/>
      <c r="AD729" s="396"/>
      <c r="AE729" s="396"/>
      <c r="AF729" s="396"/>
      <c r="AG729" s="396"/>
      <c r="AH729" s="396"/>
      <c r="AI729" s="397"/>
      <c r="AJ729" s="395"/>
      <c r="AK729" s="396"/>
      <c r="AL729" s="396"/>
      <c r="AM729" s="396"/>
      <c r="AN729" s="396"/>
      <c r="AO729" s="396"/>
      <c r="AP729" s="396"/>
      <c r="AQ729" s="396"/>
      <c r="AR729" s="402"/>
    </row>
    <row r="730" spans="3:44" ht="18" customHeight="1">
      <c r="C730" s="407"/>
      <c r="D730" s="408"/>
      <c r="E730" s="408"/>
      <c r="F730" s="408"/>
      <c r="G730" s="408"/>
      <c r="H730" s="408"/>
      <c r="I730" s="408"/>
      <c r="J730" s="408"/>
      <c r="K730" s="408"/>
      <c r="L730" s="408"/>
      <c r="M730" s="408"/>
      <c r="N730" s="408"/>
      <c r="O730" s="408"/>
      <c r="P730" s="408"/>
      <c r="Q730" s="408"/>
      <c r="R730" s="408"/>
      <c r="S730" s="408"/>
      <c r="T730" s="408"/>
      <c r="U730" s="408"/>
      <c r="V730" s="408"/>
      <c r="W730" s="408"/>
      <c r="X730" s="408"/>
      <c r="Y730" s="408"/>
      <c r="Z730" s="408"/>
      <c r="AA730" s="408"/>
      <c r="AB730" s="398"/>
      <c r="AC730" s="399"/>
      <c r="AD730" s="399"/>
      <c r="AE730" s="399"/>
      <c r="AF730" s="399"/>
      <c r="AG730" s="399"/>
      <c r="AH730" s="399"/>
      <c r="AI730" s="400"/>
      <c r="AJ730" s="398"/>
      <c r="AK730" s="399"/>
      <c r="AL730" s="399"/>
      <c r="AM730" s="399"/>
      <c r="AN730" s="399"/>
      <c r="AO730" s="399"/>
      <c r="AP730" s="399"/>
      <c r="AQ730" s="399"/>
      <c r="AR730" s="403"/>
    </row>
    <row r="732" spans="3:44" ht="18" customHeight="1">
      <c r="C732" s="850" t="s">
        <v>64</v>
      </c>
      <c r="D732" s="851"/>
      <c r="E732" s="851"/>
      <c r="F732" s="851"/>
      <c r="G732" s="851"/>
      <c r="H732" s="851"/>
      <c r="I732" s="851"/>
      <c r="J732" s="851"/>
      <c r="K732" s="851"/>
      <c r="L732" s="851"/>
      <c r="M732" s="851"/>
      <c r="N732" s="851"/>
      <c r="O732" s="851"/>
      <c r="P732" s="851"/>
      <c r="Q732" s="851"/>
      <c r="R732" s="851"/>
      <c r="S732" s="851"/>
      <c r="T732" s="851"/>
      <c r="U732" s="851"/>
      <c r="V732" s="851"/>
      <c r="W732" s="851"/>
      <c r="X732" s="851"/>
      <c r="Y732" s="851"/>
      <c r="Z732" s="851"/>
      <c r="AA732" s="851"/>
      <c r="AB732" s="851"/>
      <c r="AC732" s="851"/>
      <c r="AD732" s="851"/>
      <c r="AE732" s="851"/>
      <c r="AF732" s="851"/>
      <c r="AG732" s="851"/>
      <c r="AH732" s="851"/>
      <c r="AI732" s="851"/>
      <c r="AJ732" s="851"/>
      <c r="AK732" s="851"/>
      <c r="AL732" s="851"/>
      <c r="AM732" s="851"/>
      <c r="AN732" s="851"/>
      <c r="AO732" s="851"/>
      <c r="AP732" s="851"/>
      <c r="AQ732" s="851"/>
      <c r="AR732" s="852"/>
    </row>
    <row r="733" spans="3:44" ht="18" customHeight="1">
      <c r="C733" s="853"/>
      <c r="D733" s="854"/>
      <c r="E733" s="854"/>
      <c r="F733" s="854"/>
      <c r="G733" s="854"/>
      <c r="H733" s="854"/>
      <c r="I733" s="854"/>
      <c r="J733" s="854"/>
      <c r="K733" s="854"/>
      <c r="L733" s="854"/>
      <c r="M733" s="854"/>
      <c r="N733" s="854"/>
      <c r="O733" s="854"/>
      <c r="P733" s="854"/>
      <c r="Q733" s="854"/>
      <c r="R733" s="854"/>
      <c r="S733" s="854"/>
      <c r="T733" s="854"/>
      <c r="U733" s="854"/>
      <c r="V733" s="854"/>
      <c r="W733" s="854"/>
      <c r="X733" s="854"/>
      <c r="Y733" s="854"/>
      <c r="Z733" s="854"/>
      <c r="AA733" s="854"/>
      <c r="AB733" s="854"/>
      <c r="AC733" s="854"/>
      <c r="AD733" s="854"/>
      <c r="AE733" s="854"/>
      <c r="AF733" s="854"/>
      <c r="AG733" s="854"/>
      <c r="AH733" s="854"/>
      <c r="AI733" s="854"/>
      <c r="AJ733" s="854"/>
      <c r="AK733" s="854"/>
      <c r="AL733" s="854"/>
      <c r="AM733" s="854"/>
      <c r="AN733" s="854"/>
      <c r="AO733" s="854"/>
      <c r="AP733" s="854"/>
      <c r="AQ733" s="854"/>
      <c r="AR733" s="855"/>
    </row>
    <row r="734" spans="3:44" ht="18" customHeight="1">
      <c r="C734" s="856" t="s">
        <v>65</v>
      </c>
      <c r="D734" s="857"/>
      <c r="E734" s="857"/>
      <c r="F734" s="857"/>
      <c r="G734" s="860" t="s">
        <v>689</v>
      </c>
      <c r="H734" s="860"/>
      <c r="I734" s="860"/>
      <c r="J734" s="861"/>
      <c r="K734" s="864" t="s">
        <v>66</v>
      </c>
      <c r="L734" s="865"/>
      <c r="M734" s="865"/>
      <c r="N734" s="865"/>
      <c r="O734" s="522" t="s">
        <v>674</v>
      </c>
      <c r="P734" s="523"/>
      <c r="Q734" s="523"/>
      <c r="R734" s="523"/>
      <c r="S734" s="523"/>
      <c r="T734" s="523"/>
      <c r="U734" s="523"/>
      <c r="V734" s="523"/>
      <c r="W734" s="523"/>
      <c r="X734" s="523"/>
      <c r="Y734" s="523"/>
      <c r="Z734" s="523"/>
      <c r="AA734" s="523"/>
      <c r="AB734" s="523"/>
      <c r="AC734" s="523"/>
      <c r="AD734" s="523"/>
      <c r="AE734" s="523"/>
      <c r="AF734" s="523"/>
      <c r="AG734" s="523"/>
      <c r="AH734" s="523"/>
      <c r="AI734" s="523"/>
      <c r="AJ734" s="523"/>
      <c r="AK734" s="523"/>
      <c r="AL734" s="864" t="s">
        <v>67</v>
      </c>
      <c r="AM734" s="865"/>
      <c r="AN734" s="865"/>
      <c r="AO734" s="865"/>
      <c r="AP734" s="843" t="s">
        <v>309</v>
      </c>
      <c r="AQ734" s="843"/>
      <c r="AR734" s="844"/>
    </row>
    <row r="735" spans="3:44" ht="18" customHeight="1">
      <c r="C735" s="858"/>
      <c r="D735" s="859"/>
      <c r="E735" s="859"/>
      <c r="F735" s="859"/>
      <c r="G735" s="862"/>
      <c r="H735" s="862"/>
      <c r="I735" s="862"/>
      <c r="J735" s="863"/>
      <c r="K735" s="866"/>
      <c r="L735" s="867"/>
      <c r="M735" s="867"/>
      <c r="N735" s="867"/>
      <c r="O735" s="524"/>
      <c r="P735" s="525"/>
      <c r="Q735" s="525"/>
      <c r="R735" s="525"/>
      <c r="S735" s="525"/>
      <c r="T735" s="525"/>
      <c r="U735" s="525"/>
      <c r="V735" s="525"/>
      <c r="W735" s="525"/>
      <c r="X735" s="525"/>
      <c r="Y735" s="525"/>
      <c r="Z735" s="525"/>
      <c r="AA735" s="525"/>
      <c r="AB735" s="525"/>
      <c r="AC735" s="525"/>
      <c r="AD735" s="525"/>
      <c r="AE735" s="525"/>
      <c r="AF735" s="525"/>
      <c r="AG735" s="525"/>
      <c r="AH735" s="525"/>
      <c r="AI735" s="525"/>
      <c r="AJ735" s="525"/>
      <c r="AK735" s="525"/>
      <c r="AL735" s="866"/>
      <c r="AM735" s="867"/>
      <c r="AN735" s="867"/>
      <c r="AO735" s="867"/>
      <c r="AP735" s="845"/>
      <c r="AQ735" s="845"/>
      <c r="AR735" s="846"/>
    </row>
    <row r="737" spans="3:44" ht="18" customHeight="1">
      <c r="C737" s="794" t="s">
        <v>43</v>
      </c>
      <c r="D737" s="774"/>
      <c r="E737" s="775"/>
      <c r="F737" s="773" t="s">
        <v>68</v>
      </c>
      <c r="G737" s="774"/>
      <c r="H737" s="774"/>
      <c r="I737" s="774"/>
      <c r="J737" s="774"/>
      <c r="K737" s="774"/>
      <c r="L737" s="774"/>
      <c r="M737" s="774"/>
      <c r="N737" s="774"/>
      <c r="O737" s="774"/>
      <c r="P737" s="774"/>
      <c r="Q737" s="774"/>
      <c r="R737" s="774"/>
      <c r="S737" s="774"/>
      <c r="T737" s="774"/>
      <c r="U737" s="775"/>
      <c r="V737" s="773" t="s">
        <v>249</v>
      </c>
      <c r="W737" s="774"/>
      <c r="X737" s="775"/>
      <c r="Y737" s="847" t="s">
        <v>69</v>
      </c>
      <c r="Z737" s="848"/>
      <c r="AA737" s="848"/>
      <c r="AB737" s="848"/>
      <c r="AC737" s="848"/>
      <c r="AD737" s="848"/>
      <c r="AE737" s="848"/>
      <c r="AF737" s="849"/>
      <c r="AG737" s="847" t="s">
        <v>70</v>
      </c>
      <c r="AH737" s="848"/>
      <c r="AI737" s="848"/>
      <c r="AJ737" s="848"/>
      <c r="AK737" s="848"/>
      <c r="AL737" s="848"/>
      <c r="AM737" s="848"/>
      <c r="AN737" s="849"/>
      <c r="AO737" s="773" t="s">
        <v>71</v>
      </c>
      <c r="AP737" s="774"/>
      <c r="AQ737" s="774"/>
      <c r="AR737" s="779"/>
    </row>
    <row r="738" spans="3:44" ht="18" customHeight="1">
      <c r="C738" s="795"/>
      <c r="D738" s="777"/>
      <c r="E738" s="778"/>
      <c r="F738" s="776"/>
      <c r="G738" s="777"/>
      <c r="H738" s="777"/>
      <c r="I738" s="777"/>
      <c r="J738" s="777"/>
      <c r="K738" s="777"/>
      <c r="L738" s="777"/>
      <c r="M738" s="777"/>
      <c r="N738" s="777"/>
      <c r="O738" s="777"/>
      <c r="P738" s="777"/>
      <c r="Q738" s="777"/>
      <c r="R738" s="777"/>
      <c r="S738" s="777"/>
      <c r="T738" s="777"/>
      <c r="U738" s="778"/>
      <c r="V738" s="776"/>
      <c r="W738" s="777"/>
      <c r="X738" s="778"/>
      <c r="Y738" s="834" t="s">
        <v>72</v>
      </c>
      <c r="Z738" s="835"/>
      <c r="AA738" s="835"/>
      <c r="AB738" s="836"/>
      <c r="AC738" s="834" t="s">
        <v>73</v>
      </c>
      <c r="AD738" s="835"/>
      <c r="AE738" s="835"/>
      <c r="AF738" s="836"/>
      <c r="AG738" s="834" t="s">
        <v>72</v>
      </c>
      <c r="AH738" s="835"/>
      <c r="AI738" s="835"/>
      <c r="AJ738" s="836"/>
      <c r="AK738" s="834" t="s">
        <v>73</v>
      </c>
      <c r="AL738" s="835"/>
      <c r="AM738" s="835"/>
      <c r="AN738" s="836"/>
      <c r="AO738" s="776"/>
      <c r="AP738" s="777"/>
      <c r="AQ738" s="777"/>
      <c r="AR738" s="780"/>
    </row>
    <row r="739" spans="3:44" ht="18" customHeight="1">
      <c r="C739" s="781"/>
      <c r="D739" s="782"/>
      <c r="E739" s="783"/>
      <c r="F739" s="493"/>
      <c r="G739" s="493"/>
      <c r="H739" s="493"/>
      <c r="I739" s="493"/>
      <c r="J739" s="493"/>
      <c r="K739" s="493"/>
      <c r="L739" s="493"/>
      <c r="M739" s="493"/>
      <c r="N739" s="493"/>
      <c r="O739" s="493"/>
      <c r="P739" s="493"/>
      <c r="Q739" s="493"/>
      <c r="R739" s="493"/>
      <c r="S739" s="493"/>
      <c r="T739" s="493"/>
      <c r="U739" s="493"/>
      <c r="V739" s="837"/>
      <c r="W739" s="838"/>
      <c r="X739" s="839"/>
      <c r="Y739" s="837"/>
      <c r="Z739" s="838"/>
      <c r="AA739" s="838"/>
      <c r="AB739" s="839"/>
      <c r="AC739" s="868"/>
      <c r="AD739" s="869"/>
      <c r="AE739" s="869"/>
      <c r="AF739" s="870"/>
      <c r="AG739" s="491"/>
      <c r="AH739" s="491"/>
      <c r="AI739" s="491"/>
      <c r="AJ739" s="491"/>
      <c r="AK739" s="491"/>
      <c r="AL739" s="491"/>
      <c r="AM739" s="491"/>
      <c r="AN739" s="491"/>
      <c r="AO739" s="491"/>
      <c r="AP739" s="491"/>
      <c r="AQ739" s="491"/>
      <c r="AR739" s="492"/>
    </row>
    <row r="740" spans="3:44" ht="18" customHeight="1">
      <c r="C740" s="758"/>
      <c r="D740" s="759"/>
      <c r="E740" s="760"/>
      <c r="F740" s="493"/>
      <c r="G740" s="493"/>
      <c r="H740" s="493"/>
      <c r="I740" s="493"/>
      <c r="J740" s="493"/>
      <c r="K740" s="493"/>
      <c r="L740" s="493"/>
      <c r="M740" s="493"/>
      <c r="N740" s="493"/>
      <c r="O740" s="493"/>
      <c r="P740" s="493"/>
      <c r="Q740" s="493"/>
      <c r="R740" s="493"/>
      <c r="S740" s="493"/>
      <c r="T740" s="493"/>
      <c r="U740" s="493"/>
      <c r="V740" s="466"/>
      <c r="W740" s="467"/>
      <c r="X740" s="468"/>
      <c r="Y740" s="466"/>
      <c r="Z740" s="467"/>
      <c r="AA740" s="467"/>
      <c r="AB740" s="468"/>
      <c r="AC740" s="828"/>
      <c r="AD740" s="829"/>
      <c r="AE740" s="829"/>
      <c r="AF740" s="830"/>
      <c r="AG740" s="491"/>
      <c r="AH740" s="491"/>
      <c r="AI740" s="491"/>
      <c r="AJ740" s="491"/>
      <c r="AK740" s="491"/>
      <c r="AL740" s="491"/>
      <c r="AM740" s="491"/>
      <c r="AN740" s="491"/>
      <c r="AO740" s="491"/>
      <c r="AP740" s="491"/>
      <c r="AQ740" s="491"/>
      <c r="AR740" s="492"/>
    </row>
    <row r="741" spans="3:44" ht="18" customHeight="1">
      <c r="C741" s="758"/>
      <c r="D741" s="759"/>
      <c r="E741" s="760"/>
      <c r="F741" s="493"/>
      <c r="G741" s="493"/>
      <c r="H741" s="493"/>
      <c r="I741" s="493"/>
      <c r="J741" s="493"/>
      <c r="K741" s="493"/>
      <c r="L741" s="493"/>
      <c r="M741" s="493"/>
      <c r="N741" s="493"/>
      <c r="O741" s="493"/>
      <c r="P741" s="493"/>
      <c r="Q741" s="493"/>
      <c r="R741" s="493"/>
      <c r="S741" s="493"/>
      <c r="T741" s="493"/>
      <c r="U741" s="493"/>
      <c r="V741" s="466"/>
      <c r="W741" s="467"/>
      <c r="X741" s="468"/>
      <c r="Y741" s="466"/>
      <c r="Z741" s="467"/>
      <c r="AA741" s="467"/>
      <c r="AB741" s="468"/>
      <c r="AC741" s="828"/>
      <c r="AD741" s="829"/>
      <c r="AE741" s="829"/>
      <c r="AF741" s="830"/>
      <c r="AG741" s="491"/>
      <c r="AH741" s="491"/>
      <c r="AI741" s="491"/>
      <c r="AJ741" s="491"/>
      <c r="AK741" s="491"/>
      <c r="AL741" s="491"/>
      <c r="AM741" s="491"/>
      <c r="AN741" s="491"/>
      <c r="AO741" s="491"/>
      <c r="AP741" s="491"/>
      <c r="AQ741" s="491"/>
      <c r="AR741" s="492"/>
    </row>
    <row r="742" spans="3:44" ht="18" customHeight="1">
      <c r="C742" s="758"/>
      <c r="D742" s="759"/>
      <c r="E742" s="760"/>
      <c r="F742" s="493"/>
      <c r="G742" s="493"/>
      <c r="H742" s="493"/>
      <c r="I742" s="493"/>
      <c r="J742" s="493"/>
      <c r="K742" s="493"/>
      <c r="L742" s="493"/>
      <c r="M742" s="493"/>
      <c r="N742" s="493"/>
      <c r="O742" s="493"/>
      <c r="P742" s="493"/>
      <c r="Q742" s="493"/>
      <c r="R742" s="493"/>
      <c r="S742" s="493"/>
      <c r="T742" s="493"/>
      <c r="U742" s="493"/>
      <c r="V742" s="466"/>
      <c r="W742" s="467"/>
      <c r="X742" s="468"/>
      <c r="Y742" s="466"/>
      <c r="Z742" s="467"/>
      <c r="AA742" s="467"/>
      <c r="AB742" s="468"/>
      <c r="AC742" s="828"/>
      <c r="AD742" s="829"/>
      <c r="AE742" s="829"/>
      <c r="AF742" s="830"/>
      <c r="AG742" s="491"/>
      <c r="AH742" s="491"/>
      <c r="AI742" s="491"/>
      <c r="AJ742" s="491"/>
      <c r="AK742" s="491"/>
      <c r="AL742" s="491"/>
      <c r="AM742" s="491"/>
      <c r="AN742" s="491"/>
      <c r="AO742" s="491"/>
      <c r="AP742" s="491"/>
      <c r="AQ742" s="491"/>
      <c r="AR742" s="492"/>
    </row>
    <row r="743" spans="3:44" ht="18" customHeight="1">
      <c r="C743" s="758"/>
      <c r="D743" s="759"/>
      <c r="E743" s="760"/>
      <c r="F743" s="493"/>
      <c r="G743" s="493"/>
      <c r="H743" s="493"/>
      <c r="I743" s="493"/>
      <c r="J743" s="493"/>
      <c r="K743" s="493"/>
      <c r="L743" s="493"/>
      <c r="M743" s="493"/>
      <c r="N743" s="493"/>
      <c r="O743" s="493"/>
      <c r="P743" s="493"/>
      <c r="Q743" s="493"/>
      <c r="R743" s="493"/>
      <c r="S743" s="493"/>
      <c r="T743" s="493"/>
      <c r="U743" s="493"/>
      <c r="V743" s="466"/>
      <c r="W743" s="467"/>
      <c r="X743" s="468"/>
      <c r="Y743" s="466"/>
      <c r="Z743" s="467"/>
      <c r="AA743" s="467"/>
      <c r="AB743" s="468"/>
      <c r="AC743" s="828"/>
      <c r="AD743" s="829"/>
      <c r="AE743" s="829"/>
      <c r="AF743" s="830"/>
      <c r="AG743" s="491"/>
      <c r="AH743" s="491"/>
      <c r="AI743" s="491"/>
      <c r="AJ743" s="491"/>
      <c r="AK743" s="491"/>
      <c r="AL743" s="491"/>
      <c r="AM743" s="491"/>
      <c r="AN743" s="491"/>
      <c r="AO743" s="491"/>
      <c r="AP743" s="491"/>
      <c r="AQ743" s="491"/>
      <c r="AR743" s="492"/>
    </row>
    <row r="744" spans="3:44" ht="18" customHeight="1">
      <c r="C744" s="758"/>
      <c r="D744" s="759"/>
      <c r="E744" s="760"/>
      <c r="F744" s="493"/>
      <c r="G744" s="493"/>
      <c r="H744" s="493"/>
      <c r="I744" s="493"/>
      <c r="J744" s="493"/>
      <c r="K744" s="493"/>
      <c r="L744" s="493"/>
      <c r="M744" s="493"/>
      <c r="N744" s="493"/>
      <c r="O744" s="493"/>
      <c r="P744" s="493"/>
      <c r="Q744" s="493"/>
      <c r="R744" s="493"/>
      <c r="S744" s="493"/>
      <c r="T744" s="493"/>
      <c r="U744" s="493"/>
      <c r="V744" s="466"/>
      <c r="W744" s="467"/>
      <c r="X744" s="468"/>
      <c r="Y744" s="466"/>
      <c r="Z744" s="467"/>
      <c r="AA744" s="467"/>
      <c r="AB744" s="468"/>
      <c r="AC744" s="828"/>
      <c r="AD744" s="829"/>
      <c r="AE744" s="829"/>
      <c r="AF744" s="830"/>
      <c r="AG744" s="491"/>
      <c r="AH744" s="491"/>
      <c r="AI744" s="491"/>
      <c r="AJ744" s="491"/>
      <c r="AK744" s="491"/>
      <c r="AL744" s="491"/>
      <c r="AM744" s="491"/>
      <c r="AN744" s="491"/>
      <c r="AO744" s="491"/>
      <c r="AP744" s="491"/>
      <c r="AQ744" s="491"/>
      <c r="AR744" s="492"/>
    </row>
    <row r="745" spans="3:44" ht="18" customHeight="1">
      <c r="C745" s="758"/>
      <c r="D745" s="759"/>
      <c r="E745" s="760"/>
      <c r="F745" s="796"/>
      <c r="G745" s="797"/>
      <c r="H745" s="797"/>
      <c r="I745" s="797"/>
      <c r="J745" s="797"/>
      <c r="K745" s="797"/>
      <c r="L745" s="797"/>
      <c r="M745" s="797"/>
      <c r="N745" s="797"/>
      <c r="O745" s="797"/>
      <c r="P745" s="797"/>
      <c r="Q745" s="797"/>
      <c r="R745" s="797"/>
      <c r="S745" s="797"/>
      <c r="T745" s="797"/>
      <c r="U745" s="798"/>
      <c r="V745" s="466"/>
      <c r="W745" s="467"/>
      <c r="X745" s="468"/>
      <c r="Y745" s="466"/>
      <c r="Z745" s="467"/>
      <c r="AA745" s="467"/>
      <c r="AB745" s="468"/>
      <c r="AC745" s="828"/>
      <c r="AD745" s="829"/>
      <c r="AE745" s="829"/>
      <c r="AF745" s="830"/>
      <c r="AG745" s="466"/>
      <c r="AH745" s="467"/>
      <c r="AI745" s="467"/>
      <c r="AJ745" s="468"/>
      <c r="AK745" s="466"/>
      <c r="AL745" s="467"/>
      <c r="AM745" s="467"/>
      <c r="AN745" s="468"/>
      <c r="AO745" s="466"/>
      <c r="AP745" s="467"/>
      <c r="AQ745" s="467"/>
      <c r="AR745" s="823"/>
    </row>
    <row r="746" spans="3:44" ht="18" customHeight="1">
      <c r="C746" s="758"/>
      <c r="D746" s="759"/>
      <c r="E746" s="760"/>
      <c r="F746" s="796"/>
      <c r="G746" s="797"/>
      <c r="H746" s="797"/>
      <c r="I746" s="797"/>
      <c r="J746" s="797"/>
      <c r="K746" s="797"/>
      <c r="L746" s="797"/>
      <c r="M746" s="797"/>
      <c r="N746" s="797"/>
      <c r="O746" s="797"/>
      <c r="P746" s="797"/>
      <c r="Q746" s="797"/>
      <c r="R746" s="797"/>
      <c r="S746" s="797"/>
      <c r="T746" s="797"/>
      <c r="U746" s="798"/>
      <c r="V746" s="466"/>
      <c r="W746" s="467"/>
      <c r="X746" s="468"/>
      <c r="Y746" s="466"/>
      <c r="Z746" s="467"/>
      <c r="AA746" s="467"/>
      <c r="AB746" s="468"/>
      <c r="AC746" s="828"/>
      <c r="AD746" s="829"/>
      <c r="AE746" s="829"/>
      <c r="AF746" s="830"/>
      <c r="AG746" s="466"/>
      <c r="AH746" s="467"/>
      <c r="AI746" s="467"/>
      <c r="AJ746" s="468"/>
      <c r="AK746" s="466"/>
      <c r="AL746" s="467"/>
      <c r="AM746" s="467"/>
      <c r="AN746" s="468"/>
      <c r="AO746" s="466"/>
      <c r="AP746" s="467"/>
      <c r="AQ746" s="467"/>
      <c r="AR746" s="823"/>
    </row>
    <row r="747" spans="3:44" ht="18" customHeight="1">
      <c r="C747" s="743"/>
      <c r="D747" s="744"/>
      <c r="E747" s="744"/>
      <c r="F747" s="744"/>
      <c r="G747" s="744"/>
      <c r="H747" s="744"/>
      <c r="I747" s="744"/>
      <c r="J747" s="744"/>
      <c r="K747" s="744"/>
      <c r="L747" s="744"/>
      <c r="M747" s="744"/>
      <c r="N747" s="744"/>
      <c r="O747" s="744"/>
      <c r="P747" s="744"/>
      <c r="Q747" s="744"/>
      <c r="R747" s="744"/>
      <c r="S747" s="744"/>
      <c r="T747" s="744"/>
      <c r="U747" s="744"/>
      <c r="V747" s="744"/>
      <c r="W747" s="744"/>
      <c r="X747" s="824"/>
      <c r="Y747" s="825" t="s">
        <v>74</v>
      </c>
      <c r="Z747" s="826"/>
      <c r="AA747" s="826"/>
      <c r="AB747" s="826"/>
      <c r="AC747" s="826"/>
      <c r="AD747" s="826"/>
      <c r="AE747" s="826"/>
      <c r="AF747" s="826"/>
      <c r="AG747" s="826"/>
      <c r="AH747" s="826"/>
      <c r="AI747" s="826"/>
      <c r="AJ747" s="826"/>
      <c r="AK747" s="826"/>
      <c r="AL747" s="826"/>
      <c r="AM747" s="826"/>
      <c r="AN747" s="827"/>
      <c r="AO747" s="477">
        <f>SUM(AO739:AR746)</f>
        <v>0</v>
      </c>
      <c r="AP747" s="746"/>
      <c r="AQ747" s="746"/>
      <c r="AR747" s="747"/>
    </row>
    <row r="749" spans="3:44" ht="18" customHeight="1">
      <c r="C749" s="794" t="s">
        <v>43</v>
      </c>
      <c r="D749" s="774"/>
      <c r="E749" s="775"/>
      <c r="F749" s="773" t="s">
        <v>75</v>
      </c>
      <c r="G749" s="774"/>
      <c r="H749" s="774"/>
      <c r="I749" s="774"/>
      <c r="J749" s="774"/>
      <c r="K749" s="774"/>
      <c r="L749" s="774"/>
      <c r="M749" s="774"/>
      <c r="N749" s="774"/>
      <c r="O749" s="774"/>
      <c r="P749" s="774"/>
      <c r="Q749" s="774"/>
      <c r="R749" s="774"/>
      <c r="S749" s="774"/>
      <c r="T749" s="774"/>
      <c r="U749" s="774"/>
      <c r="V749" s="774"/>
      <c r="W749" s="774"/>
      <c r="X749" s="774"/>
      <c r="Y749" s="774"/>
      <c r="Z749" s="774"/>
      <c r="AA749" s="774"/>
      <c r="AB749" s="775"/>
      <c r="AC749" s="773" t="s">
        <v>76</v>
      </c>
      <c r="AD749" s="774"/>
      <c r="AE749" s="774"/>
      <c r="AF749" s="775"/>
      <c r="AG749" s="773" t="s">
        <v>249</v>
      </c>
      <c r="AH749" s="774"/>
      <c r="AI749" s="774"/>
      <c r="AJ749" s="775"/>
      <c r="AK749" s="773" t="s">
        <v>77</v>
      </c>
      <c r="AL749" s="774"/>
      <c r="AM749" s="774"/>
      <c r="AN749" s="775"/>
      <c r="AO749" s="773" t="s">
        <v>71</v>
      </c>
      <c r="AP749" s="774"/>
      <c r="AQ749" s="774"/>
      <c r="AR749" s="779"/>
    </row>
    <row r="750" spans="3:44" ht="18" customHeight="1">
      <c r="C750" s="795"/>
      <c r="D750" s="777"/>
      <c r="E750" s="778"/>
      <c r="F750" s="776"/>
      <c r="G750" s="777"/>
      <c r="H750" s="777"/>
      <c r="I750" s="777"/>
      <c r="J750" s="777"/>
      <c r="K750" s="777"/>
      <c r="L750" s="777"/>
      <c r="M750" s="777"/>
      <c r="N750" s="777"/>
      <c r="O750" s="777"/>
      <c r="P750" s="777"/>
      <c r="Q750" s="777"/>
      <c r="R750" s="777"/>
      <c r="S750" s="777"/>
      <c r="T750" s="777"/>
      <c r="U750" s="777"/>
      <c r="V750" s="777"/>
      <c r="W750" s="777"/>
      <c r="X750" s="777"/>
      <c r="Y750" s="777"/>
      <c r="Z750" s="777"/>
      <c r="AA750" s="777"/>
      <c r="AB750" s="778"/>
      <c r="AC750" s="776"/>
      <c r="AD750" s="777"/>
      <c r="AE750" s="777"/>
      <c r="AF750" s="778"/>
      <c r="AG750" s="776"/>
      <c r="AH750" s="777"/>
      <c r="AI750" s="777"/>
      <c r="AJ750" s="778"/>
      <c r="AK750" s="776"/>
      <c r="AL750" s="777"/>
      <c r="AM750" s="777"/>
      <c r="AN750" s="778"/>
      <c r="AO750" s="776"/>
      <c r="AP750" s="777"/>
      <c r="AQ750" s="777"/>
      <c r="AR750" s="780"/>
    </row>
    <row r="751" spans="3:44" ht="18" customHeight="1">
      <c r="C751" s="781" t="s">
        <v>940</v>
      </c>
      <c r="D751" s="782"/>
      <c r="E751" s="783"/>
      <c r="F751" s="493" t="s">
        <v>105</v>
      </c>
      <c r="G751" s="493"/>
      <c r="H751" s="493"/>
      <c r="I751" s="493"/>
      <c r="J751" s="493"/>
      <c r="K751" s="493"/>
      <c r="L751" s="493"/>
      <c r="M751" s="493"/>
      <c r="N751" s="493"/>
      <c r="O751" s="493"/>
      <c r="P751" s="493"/>
      <c r="Q751" s="493"/>
      <c r="R751" s="493"/>
      <c r="S751" s="493"/>
      <c r="T751" s="493"/>
      <c r="U751" s="493"/>
      <c r="V751" s="493"/>
      <c r="W751" s="493"/>
      <c r="X751" s="493"/>
      <c r="Y751" s="493"/>
      <c r="Z751" s="493"/>
      <c r="AA751" s="493"/>
      <c r="AB751" s="493"/>
      <c r="AC751" s="770"/>
      <c r="AD751" s="771"/>
      <c r="AE751" s="771"/>
      <c r="AF751" s="790"/>
      <c r="AG751" s="770">
        <v>0.2</v>
      </c>
      <c r="AH751" s="771"/>
      <c r="AI751" s="771"/>
      <c r="AJ751" s="790"/>
      <c r="AK751" s="449">
        <f>VLOOKUP(C751,[4]MÃODEOBRA!A$1:D$65536,4,FALSE)</f>
        <v>22.98488</v>
      </c>
      <c r="AL751" s="449"/>
      <c r="AM751" s="449"/>
      <c r="AN751" s="449"/>
      <c r="AO751" s="491">
        <f>ROUND(AG751*AK751,2)</f>
        <v>4.5999999999999996</v>
      </c>
      <c r="AP751" s="491"/>
      <c r="AQ751" s="491"/>
      <c r="AR751" s="492"/>
    </row>
    <row r="752" spans="3:44" ht="18" customHeight="1">
      <c r="C752" s="758" t="s">
        <v>943</v>
      </c>
      <c r="D752" s="759"/>
      <c r="E752" s="760"/>
      <c r="F752" s="796" t="s">
        <v>128</v>
      </c>
      <c r="G752" s="797"/>
      <c r="H752" s="797"/>
      <c r="I752" s="797"/>
      <c r="J752" s="797"/>
      <c r="K752" s="797"/>
      <c r="L752" s="797"/>
      <c r="M752" s="797"/>
      <c r="N752" s="797"/>
      <c r="O752" s="797"/>
      <c r="P752" s="797"/>
      <c r="Q752" s="797"/>
      <c r="R752" s="797"/>
      <c r="S752" s="797"/>
      <c r="T752" s="797"/>
      <c r="U752" s="797"/>
      <c r="V752" s="797"/>
      <c r="W752" s="797"/>
      <c r="X752" s="797"/>
      <c r="Y752" s="797"/>
      <c r="Z752" s="797"/>
      <c r="AA752" s="797"/>
      <c r="AB752" s="798"/>
      <c r="AC752" s="740"/>
      <c r="AD752" s="741"/>
      <c r="AE752" s="741"/>
      <c r="AF752" s="757"/>
      <c r="AG752" s="740">
        <v>0.5</v>
      </c>
      <c r="AH752" s="741"/>
      <c r="AI752" s="741"/>
      <c r="AJ752" s="757"/>
      <c r="AK752" s="449">
        <f>VLOOKUP(C752,[4]MÃODEOBRA!A$1:D$65536,4,FALSE)</f>
        <v>8.6333500000000001</v>
      </c>
      <c r="AL752" s="449"/>
      <c r="AM752" s="449"/>
      <c r="AN752" s="449"/>
      <c r="AO752" s="491">
        <f>ROUND(AG752*AK752,2)</f>
        <v>4.32</v>
      </c>
      <c r="AP752" s="491"/>
      <c r="AQ752" s="491"/>
      <c r="AR752" s="492"/>
    </row>
    <row r="753" spans="3:44" ht="18" customHeight="1">
      <c r="C753" s="758"/>
      <c r="D753" s="759"/>
      <c r="E753" s="760"/>
      <c r="F753" s="796"/>
      <c r="G753" s="797"/>
      <c r="H753" s="797"/>
      <c r="I753" s="797"/>
      <c r="J753" s="797"/>
      <c r="K753" s="797"/>
      <c r="L753" s="797"/>
      <c r="M753" s="797"/>
      <c r="N753" s="797"/>
      <c r="O753" s="797"/>
      <c r="P753" s="797"/>
      <c r="Q753" s="797"/>
      <c r="R753" s="797"/>
      <c r="S753" s="797"/>
      <c r="T753" s="797"/>
      <c r="U753" s="797"/>
      <c r="V753" s="797"/>
      <c r="W753" s="797"/>
      <c r="X753" s="797"/>
      <c r="Y753" s="797"/>
      <c r="Z753" s="797"/>
      <c r="AA753" s="797"/>
      <c r="AB753" s="798"/>
      <c r="AC753" s="740"/>
      <c r="AD753" s="741"/>
      <c r="AE753" s="741"/>
      <c r="AF753" s="757"/>
      <c r="AG753" s="740"/>
      <c r="AH753" s="741"/>
      <c r="AI753" s="741"/>
      <c r="AJ753" s="757"/>
      <c r="AK753" s="740"/>
      <c r="AL753" s="741"/>
      <c r="AM753" s="741"/>
      <c r="AN753" s="757"/>
      <c r="AO753" s="491"/>
      <c r="AP753" s="491"/>
      <c r="AQ753" s="491"/>
      <c r="AR753" s="492"/>
    </row>
    <row r="754" spans="3:44" ht="18" customHeight="1">
      <c r="C754" s="758"/>
      <c r="D754" s="759"/>
      <c r="E754" s="760"/>
      <c r="F754" s="796"/>
      <c r="G754" s="797"/>
      <c r="H754" s="797"/>
      <c r="I754" s="797"/>
      <c r="J754" s="797"/>
      <c r="K754" s="797"/>
      <c r="L754" s="797"/>
      <c r="M754" s="797"/>
      <c r="N754" s="797"/>
      <c r="O754" s="797"/>
      <c r="P754" s="797"/>
      <c r="Q754" s="797"/>
      <c r="R754" s="797"/>
      <c r="S754" s="797"/>
      <c r="T754" s="797"/>
      <c r="U754" s="797"/>
      <c r="V754" s="797"/>
      <c r="W754" s="797"/>
      <c r="X754" s="797"/>
      <c r="Y754" s="797"/>
      <c r="Z754" s="797"/>
      <c r="AA754" s="797"/>
      <c r="AB754" s="798"/>
      <c r="AC754" s="740"/>
      <c r="AD754" s="741"/>
      <c r="AE754" s="741"/>
      <c r="AF754" s="757"/>
      <c r="AG754" s="740"/>
      <c r="AH754" s="741"/>
      <c r="AI754" s="741"/>
      <c r="AJ754" s="757"/>
      <c r="AK754" s="740"/>
      <c r="AL754" s="741"/>
      <c r="AM754" s="741"/>
      <c r="AN754" s="757"/>
      <c r="AO754" s="466"/>
      <c r="AP754" s="467"/>
      <c r="AQ754" s="467"/>
      <c r="AR754" s="823"/>
    </row>
    <row r="755" spans="3:44" ht="18" customHeight="1">
      <c r="C755" s="758"/>
      <c r="D755" s="759"/>
      <c r="E755" s="760"/>
      <c r="F755" s="796"/>
      <c r="G755" s="797"/>
      <c r="H755" s="797"/>
      <c r="I755" s="797"/>
      <c r="J755" s="797"/>
      <c r="K755" s="797"/>
      <c r="L755" s="797"/>
      <c r="M755" s="797"/>
      <c r="N755" s="797"/>
      <c r="O755" s="797"/>
      <c r="P755" s="797"/>
      <c r="Q755" s="797"/>
      <c r="R755" s="797"/>
      <c r="S755" s="797"/>
      <c r="T755" s="797"/>
      <c r="U755" s="797"/>
      <c r="V755" s="797"/>
      <c r="W755" s="797"/>
      <c r="X755" s="797"/>
      <c r="Y755" s="797"/>
      <c r="Z755" s="797"/>
      <c r="AA755" s="797"/>
      <c r="AB755" s="798"/>
      <c r="AC755" s="740"/>
      <c r="AD755" s="741"/>
      <c r="AE755" s="741"/>
      <c r="AF755" s="757"/>
      <c r="AG755" s="740"/>
      <c r="AH755" s="741"/>
      <c r="AI755" s="741"/>
      <c r="AJ755" s="757"/>
      <c r="AK755" s="740"/>
      <c r="AL755" s="741"/>
      <c r="AM755" s="741"/>
      <c r="AN755" s="757"/>
      <c r="AO755" s="466"/>
      <c r="AP755" s="467"/>
      <c r="AQ755" s="467"/>
      <c r="AR755" s="823"/>
    </row>
    <row r="756" spans="3:44" ht="18" customHeight="1">
      <c r="C756" s="758"/>
      <c r="D756" s="759"/>
      <c r="E756" s="760"/>
      <c r="F756" s="796"/>
      <c r="G756" s="797"/>
      <c r="H756" s="797"/>
      <c r="I756" s="797"/>
      <c r="J756" s="797"/>
      <c r="K756" s="797"/>
      <c r="L756" s="797"/>
      <c r="M756" s="797"/>
      <c r="N756" s="797"/>
      <c r="O756" s="797"/>
      <c r="P756" s="797"/>
      <c r="Q756" s="797"/>
      <c r="R756" s="797"/>
      <c r="S756" s="797"/>
      <c r="T756" s="797"/>
      <c r="U756" s="797"/>
      <c r="V756" s="797"/>
      <c r="W756" s="797"/>
      <c r="X756" s="797"/>
      <c r="Y756" s="797"/>
      <c r="Z756" s="797"/>
      <c r="AA756" s="797"/>
      <c r="AB756" s="798"/>
      <c r="AC756" s="740"/>
      <c r="AD756" s="741"/>
      <c r="AE756" s="741"/>
      <c r="AF756" s="757"/>
      <c r="AG756" s="740"/>
      <c r="AH756" s="741"/>
      <c r="AI756" s="741"/>
      <c r="AJ756" s="757"/>
      <c r="AK756" s="740"/>
      <c r="AL756" s="741"/>
      <c r="AM756" s="741"/>
      <c r="AN756" s="757"/>
      <c r="AO756" s="466"/>
      <c r="AP756" s="467"/>
      <c r="AQ756" s="467"/>
      <c r="AR756" s="823"/>
    </row>
    <row r="757" spans="3:44" ht="18" customHeight="1">
      <c r="C757" s="758"/>
      <c r="D757" s="759"/>
      <c r="E757" s="760"/>
      <c r="F757" s="796"/>
      <c r="G757" s="797"/>
      <c r="H757" s="797"/>
      <c r="I757" s="797"/>
      <c r="J757" s="797"/>
      <c r="K757" s="797"/>
      <c r="L757" s="797"/>
      <c r="M757" s="797"/>
      <c r="N757" s="797"/>
      <c r="O757" s="797"/>
      <c r="P757" s="797"/>
      <c r="Q757" s="797"/>
      <c r="R757" s="797"/>
      <c r="S757" s="797"/>
      <c r="T757" s="797"/>
      <c r="U757" s="797"/>
      <c r="V757" s="797"/>
      <c r="W757" s="797"/>
      <c r="X757" s="797"/>
      <c r="Y757" s="797"/>
      <c r="Z757" s="797"/>
      <c r="AA757" s="797"/>
      <c r="AB757" s="798"/>
      <c r="AC757" s="740"/>
      <c r="AD757" s="741"/>
      <c r="AE757" s="741"/>
      <c r="AF757" s="757"/>
      <c r="AG757" s="740"/>
      <c r="AH757" s="741"/>
      <c r="AI757" s="741"/>
      <c r="AJ757" s="757"/>
      <c r="AK757" s="740"/>
      <c r="AL757" s="741"/>
      <c r="AM757" s="741"/>
      <c r="AN757" s="757"/>
      <c r="AO757" s="466"/>
      <c r="AP757" s="467"/>
      <c r="AQ757" s="467"/>
      <c r="AR757" s="823"/>
    </row>
    <row r="758" spans="3:44" ht="18" customHeight="1">
      <c r="C758" s="758"/>
      <c r="D758" s="759"/>
      <c r="E758" s="760"/>
      <c r="F758" s="796"/>
      <c r="G758" s="797"/>
      <c r="H758" s="797"/>
      <c r="I758" s="797"/>
      <c r="J758" s="797"/>
      <c r="K758" s="797"/>
      <c r="L758" s="797"/>
      <c r="M758" s="797"/>
      <c r="N758" s="797"/>
      <c r="O758" s="797"/>
      <c r="P758" s="797"/>
      <c r="Q758" s="797"/>
      <c r="R758" s="797"/>
      <c r="S758" s="797"/>
      <c r="T758" s="797"/>
      <c r="U758" s="797"/>
      <c r="V758" s="797"/>
      <c r="W758" s="797"/>
      <c r="X758" s="797"/>
      <c r="Y758" s="797"/>
      <c r="Z758" s="797"/>
      <c r="AA758" s="797"/>
      <c r="AB758" s="798"/>
      <c r="AC758" s="740"/>
      <c r="AD758" s="741"/>
      <c r="AE758" s="741"/>
      <c r="AF758" s="757"/>
      <c r="AG758" s="740"/>
      <c r="AH758" s="741"/>
      <c r="AI758" s="741"/>
      <c r="AJ758" s="757"/>
      <c r="AK758" s="740"/>
      <c r="AL758" s="741"/>
      <c r="AM758" s="741"/>
      <c r="AN758" s="757"/>
      <c r="AO758" s="466"/>
      <c r="AP758" s="467"/>
      <c r="AQ758" s="467"/>
      <c r="AR758" s="823"/>
    </row>
    <row r="759" spans="3:44" ht="18" customHeight="1">
      <c r="C759" s="814"/>
      <c r="D759" s="815"/>
      <c r="E759" s="815"/>
      <c r="F759" s="815"/>
      <c r="G759" s="815"/>
      <c r="H759" s="815"/>
      <c r="I759" s="815"/>
      <c r="J759" s="815"/>
      <c r="K759" s="815"/>
      <c r="L759" s="815"/>
      <c r="M759" s="815"/>
      <c r="N759" s="815"/>
      <c r="O759" s="815"/>
      <c r="P759" s="815"/>
      <c r="Q759" s="815"/>
      <c r="R759" s="815"/>
      <c r="S759" s="815"/>
      <c r="T759" s="815"/>
      <c r="U759" s="815"/>
      <c r="V759" s="815"/>
      <c r="W759" s="815"/>
      <c r="X759" s="815"/>
      <c r="Y759" s="816" t="s">
        <v>78</v>
      </c>
      <c r="Z759" s="816"/>
      <c r="AA759" s="816"/>
      <c r="AB759" s="816"/>
      <c r="AC759" s="816"/>
      <c r="AD759" s="816"/>
      <c r="AE759" s="816"/>
      <c r="AF759" s="483"/>
      <c r="AG759" s="817" t="s">
        <v>267</v>
      </c>
      <c r="AH759" s="818"/>
      <c r="AI759" s="818"/>
      <c r="AJ759" s="819"/>
      <c r="AK759" s="466">
        <f>SUM(AO751:AR758)</f>
        <v>8.92</v>
      </c>
      <c r="AL759" s="467"/>
      <c r="AM759" s="467"/>
      <c r="AN759" s="468"/>
      <c r="AO759" s="820">
        <f>ROUND(AG759*AK759,2)</f>
        <v>1.83</v>
      </c>
      <c r="AP759" s="821"/>
      <c r="AQ759" s="821"/>
      <c r="AR759" s="822"/>
    </row>
    <row r="760" spans="3:44" ht="18" customHeight="1">
      <c r="C760" s="743"/>
      <c r="D760" s="744"/>
      <c r="E760" s="744"/>
      <c r="F760" s="744"/>
      <c r="G760" s="744"/>
      <c r="H760" s="744"/>
      <c r="I760" s="744"/>
      <c r="J760" s="744"/>
      <c r="K760" s="744"/>
      <c r="L760" s="744"/>
      <c r="M760" s="744"/>
      <c r="N760" s="744"/>
      <c r="O760" s="744"/>
      <c r="P760" s="744"/>
      <c r="Q760" s="744"/>
      <c r="R760" s="744"/>
      <c r="S760" s="744"/>
      <c r="T760" s="744"/>
      <c r="U760" s="744"/>
      <c r="V760" s="744"/>
      <c r="W760" s="744"/>
      <c r="X760" s="744"/>
      <c r="Y760" s="745" t="s">
        <v>79</v>
      </c>
      <c r="Z760" s="745"/>
      <c r="AA760" s="745"/>
      <c r="AB760" s="745"/>
      <c r="AC760" s="745"/>
      <c r="AD760" s="745"/>
      <c r="AE760" s="745"/>
      <c r="AF760" s="745"/>
      <c r="AG760" s="745"/>
      <c r="AH760" s="745"/>
      <c r="AI760" s="745"/>
      <c r="AJ760" s="745"/>
      <c r="AK760" s="745"/>
      <c r="AL760" s="745"/>
      <c r="AM760" s="745"/>
      <c r="AN760" s="430"/>
      <c r="AO760" s="477">
        <f>SUM(AO751:AR759)</f>
        <v>10.75</v>
      </c>
      <c r="AP760" s="746"/>
      <c r="AQ760" s="746"/>
      <c r="AR760" s="747"/>
    </row>
    <row r="762" spans="3:44" ht="18" customHeight="1">
      <c r="C762" s="802"/>
      <c r="D762" s="803"/>
      <c r="E762" s="803"/>
      <c r="F762" s="803"/>
      <c r="G762" s="803"/>
      <c r="H762" s="803"/>
      <c r="I762" s="803"/>
      <c r="J762" s="803"/>
      <c r="K762" s="803"/>
      <c r="L762" s="803"/>
      <c r="M762" s="803"/>
      <c r="N762" s="803"/>
      <c r="O762" s="803"/>
      <c r="P762" s="803"/>
      <c r="Q762" s="803"/>
      <c r="R762" s="803"/>
      <c r="S762" s="803"/>
      <c r="T762" s="803"/>
      <c r="U762" s="803"/>
      <c r="V762" s="803"/>
      <c r="W762" s="803"/>
      <c r="X762" s="803"/>
      <c r="Y762" s="804" t="s">
        <v>80</v>
      </c>
      <c r="Z762" s="805"/>
      <c r="AA762" s="805"/>
      <c r="AB762" s="805"/>
      <c r="AC762" s="805"/>
      <c r="AD762" s="805"/>
      <c r="AE762" s="805"/>
      <c r="AF762" s="805"/>
      <c r="AG762" s="805"/>
      <c r="AH762" s="805"/>
      <c r="AI762" s="805"/>
      <c r="AJ762" s="805"/>
      <c r="AK762" s="805"/>
      <c r="AL762" s="805"/>
      <c r="AM762" s="805"/>
      <c r="AN762" s="806"/>
      <c r="AO762" s="807">
        <f>AO747+AO760</f>
        <v>10.75</v>
      </c>
      <c r="AP762" s="808"/>
      <c r="AQ762" s="808"/>
      <c r="AR762" s="809"/>
    </row>
    <row r="763" spans="3:44" ht="18" customHeight="1">
      <c r="C763" s="810" t="s">
        <v>81</v>
      </c>
      <c r="D763" s="745"/>
      <c r="E763" s="745"/>
      <c r="F763" s="745"/>
      <c r="G763" s="745"/>
      <c r="H763" s="745"/>
      <c r="I763" s="745"/>
      <c r="J763" s="745"/>
      <c r="K763" s="745"/>
      <c r="L763" s="745"/>
      <c r="M763" s="745"/>
      <c r="N763" s="745"/>
      <c r="O763" s="745"/>
      <c r="P763" s="430"/>
      <c r="Q763" s="477">
        <v>1</v>
      </c>
      <c r="R763" s="746"/>
      <c r="S763" s="746"/>
      <c r="T763" s="746"/>
      <c r="U763" s="746"/>
      <c r="V763" s="745" t="s">
        <v>309</v>
      </c>
      <c r="W763" s="745"/>
      <c r="X763" s="430"/>
      <c r="Y763" s="804" t="s">
        <v>82</v>
      </c>
      <c r="Z763" s="805"/>
      <c r="AA763" s="805"/>
      <c r="AB763" s="805"/>
      <c r="AC763" s="805"/>
      <c r="AD763" s="805"/>
      <c r="AE763" s="805"/>
      <c r="AF763" s="805"/>
      <c r="AG763" s="805"/>
      <c r="AH763" s="805"/>
      <c r="AI763" s="805"/>
      <c r="AJ763" s="805"/>
      <c r="AK763" s="805"/>
      <c r="AL763" s="805"/>
      <c r="AM763" s="805"/>
      <c r="AN763" s="806"/>
      <c r="AO763" s="811">
        <f>ROUND(AO762/Q763,2)</f>
        <v>10.75</v>
      </c>
      <c r="AP763" s="812"/>
      <c r="AQ763" s="812"/>
      <c r="AR763" s="813"/>
    </row>
    <row r="765" spans="3:44" ht="18" customHeight="1">
      <c r="C765" s="794" t="s">
        <v>43</v>
      </c>
      <c r="D765" s="774"/>
      <c r="E765" s="775"/>
      <c r="F765" s="773" t="s">
        <v>83</v>
      </c>
      <c r="G765" s="774"/>
      <c r="H765" s="774"/>
      <c r="I765" s="774"/>
      <c r="J765" s="774"/>
      <c r="K765" s="774"/>
      <c r="L765" s="774"/>
      <c r="M765" s="774"/>
      <c r="N765" s="774"/>
      <c r="O765" s="774"/>
      <c r="P765" s="774"/>
      <c r="Q765" s="774"/>
      <c r="R765" s="774"/>
      <c r="S765" s="774"/>
      <c r="T765" s="774"/>
      <c r="U765" s="774"/>
      <c r="V765" s="774"/>
      <c r="W765" s="774"/>
      <c r="X765" s="774"/>
      <c r="Y765" s="774"/>
      <c r="Z765" s="774"/>
      <c r="AA765" s="774"/>
      <c r="AB765" s="775"/>
      <c r="AC765" s="773" t="s">
        <v>84</v>
      </c>
      <c r="AD765" s="774"/>
      <c r="AE765" s="774"/>
      <c r="AF765" s="775"/>
      <c r="AG765" s="773" t="s">
        <v>85</v>
      </c>
      <c r="AH765" s="774"/>
      <c r="AI765" s="774"/>
      <c r="AJ765" s="775"/>
      <c r="AK765" s="773" t="s">
        <v>86</v>
      </c>
      <c r="AL765" s="774"/>
      <c r="AM765" s="774"/>
      <c r="AN765" s="775"/>
      <c r="AO765" s="773" t="s">
        <v>87</v>
      </c>
      <c r="AP765" s="774"/>
      <c r="AQ765" s="774"/>
      <c r="AR765" s="779"/>
    </row>
    <row r="766" spans="3:44" ht="18" customHeight="1">
      <c r="C766" s="795"/>
      <c r="D766" s="777"/>
      <c r="E766" s="778"/>
      <c r="F766" s="776"/>
      <c r="G766" s="777"/>
      <c r="H766" s="777"/>
      <c r="I766" s="777"/>
      <c r="J766" s="777"/>
      <c r="K766" s="777"/>
      <c r="L766" s="777"/>
      <c r="M766" s="777"/>
      <c r="N766" s="777"/>
      <c r="O766" s="777"/>
      <c r="P766" s="777"/>
      <c r="Q766" s="777"/>
      <c r="R766" s="777"/>
      <c r="S766" s="777"/>
      <c r="T766" s="777"/>
      <c r="U766" s="777"/>
      <c r="V766" s="777"/>
      <c r="W766" s="777"/>
      <c r="X766" s="777"/>
      <c r="Y766" s="777"/>
      <c r="Z766" s="777"/>
      <c r="AA766" s="777"/>
      <c r="AB766" s="778"/>
      <c r="AC766" s="776"/>
      <c r="AD766" s="777"/>
      <c r="AE766" s="777"/>
      <c r="AF766" s="778"/>
      <c r="AG766" s="776"/>
      <c r="AH766" s="777"/>
      <c r="AI766" s="777"/>
      <c r="AJ766" s="778"/>
      <c r="AK766" s="776"/>
      <c r="AL766" s="777"/>
      <c r="AM766" s="777"/>
      <c r="AN766" s="778"/>
      <c r="AO766" s="776"/>
      <c r="AP766" s="777"/>
      <c r="AQ766" s="777"/>
      <c r="AR766" s="780"/>
    </row>
    <row r="767" spans="3:44" ht="18" customHeight="1">
      <c r="C767" s="781" t="s">
        <v>239</v>
      </c>
      <c r="D767" s="782"/>
      <c r="E767" s="783"/>
      <c r="F767" s="493" t="s">
        <v>672</v>
      </c>
      <c r="G767" s="493"/>
      <c r="H767" s="493"/>
      <c r="I767" s="493"/>
      <c r="J767" s="493"/>
      <c r="K767" s="493"/>
      <c r="L767" s="493"/>
      <c r="M767" s="493"/>
      <c r="N767" s="493"/>
      <c r="O767" s="493"/>
      <c r="P767" s="493"/>
      <c r="Q767" s="493"/>
      <c r="R767" s="493"/>
      <c r="S767" s="493"/>
      <c r="T767" s="493"/>
      <c r="U767" s="493"/>
      <c r="V767" s="493"/>
      <c r="W767" s="493"/>
      <c r="X767" s="493"/>
      <c r="Y767" s="493"/>
      <c r="Z767" s="493"/>
      <c r="AA767" s="493"/>
      <c r="AB767" s="493"/>
      <c r="AC767" s="471" t="s">
        <v>309</v>
      </c>
      <c r="AD767" s="803"/>
      <c r="AE767" s="803"/>
      <c r="AF767" s="871"/>
      <c r="AG767" s="491">
        <v>12.6</v>
      </c>
      <c r="AH767" s="491"/>
      <c r="AI767" s="491"/>
      <c r="AJ767" s="491"/>
      <c r="AK767" s="791">
        <v>1</v>
      </c>
      <c r="AL767" s="792"/>
      <c r="AM767" s="792"/>
      <c r="AN767" s="793"/>
      <c r="AO767" s="449">
        <f>ROUND(AG767*AK767,2)</f>
        <v>12.6</v>
      </c>
      <c r="AP767" s="449"/>
      <c r="AQ767" s="449"/>
      <c r="AR767" s="450"/>
    </row>
    <row r="768" spans="3:44" ht="18" customHeight="1">
      <c r="C768" s="758" t="s">
        <v>239</v>
      </c>
      <c r="D768" s="759"/>
      <c r="E768" s="760"/>
      <c r="F768" s="796" t="s">
        <v>673</v>
      </c>
      <c r="G768" s="797"/>
      <c r="H768" s="797"/>
      <c r="I768" s="797"/>
      <c r="J768" s="797"/>
      <c r="K768" s="797"/>
      <c r="L768" s="797"/>
      <c r="M768" s="797"/>
      <c r="N768" s="797"/>
      <c r="O768" s="797"/>
      <c r="P768" s="797"/>
      <c r="Q768" s="797"/>
      <c r="R768" s="797"/>
      <c r="S768" s="797"/>
      <c r="T768" s="797"/>
      <c r="U768" s="797"/>
      <c r="V768" s="797"/>
      <c r="W768" s="797"/>
      <c r="X768" s="797"/>
      <c r="Y768" s="797"/>
      <c r="Z768" s="797"/>
      <c r="AA768" s="797"/>
      <c r="AB768" s="798"/>
      <c r="AC768" s="799" t="s">
        <v>246</v>
      </c>
      <c r="AD768" s="800"/>
      <c r="AE768" s="800"/>
      <c r="AF768" s="801"/>
      <c r="AG768" s="466">
        <v>8.15</v>
      </c>
      <c r="AH768" s="467"/>
      <c r="AI768" s="467"/>
      <c r="AJ768" s="468"/>
      <c r="AK768" s="737">
        <v>0.05</v>
      </c>
      <c r="AL768" s="738"/>
      <c r="AM768" s="738"/>
      <c r="AN768" s="739"/>
      <c r="AO768" s="449">
        <f>ROUND(AG768*AK768,2)</f>
        <v>0.41</v>
      </c>
      <c r="AP768" s="449"/>
      <c r="AQ768" s="449"/>
      <c r="AR768" s="450"/>
    </row>
    <row r="769" spans="3:44" ht="18" customHeight="1">
      <c r="C769" s="758"/>
      <c r="D769" s="759"/>
      <c r="E769" s="760"/>
      <c r="F769" s="796"/>
      <c r="G769" s="797"/>
      <c r="H769" s="797"/>
      <c r="I769" s="797"/>
      <c r="J769" s="797"/>
      <c r="K769" s="797"/>
      <c r="L769" s="797"/>
      <c r="M769" s="797"/>
      <c r="N769" s="797"/>
      <c r="O769" s="797"/>
      <c r="P769" s="797"/>
      <c r="Q769" s="797"/>
      <c r="R769" s="797"/>
      <c r="S769" s="797"/>
      <c r="T769" s="797"/>
      <c r="U769" s="797"/>
      <c r="V769" s="797"/>
      <c r="W769" s="797"/>
      <c r="X769" s="797"/>
      <c r="Y769" s="797"/>
      <c r="Z769" s="797"/>
      <c r="AA769" s="797"/>
      <c r="AB769" s="798"/>
      <c r="AC769" s="799"/>
      <c r="AD769" s="800"/>
      <c r="AE769" s="800"/>
      <c r="AF769" s="801"/>
      <c r="AG769" s="466"/>
      <c r="AH769" s="467"/>
      <c r="AI769" s="467"/>
      <c r="AJ769" s="468"/>
      <c r="AK769" s="737"/>
      <c r="AL769" s="738"/>
      <c r="AM769" s="738"/>
      <c r="AN769" s="739"/>
      <c r="AO769" s="740"/>
      <c r="AP769" s="741"/>
      <c r="AQ769" s="741"/>
      <c r="AR769" s="742"/>
    </row>
    <row r="770" spans="3:44" ht="18" customHeight="1">
      <c r="C770" s="758"/>
      <c r="D770" s="759"/>
      <c r="E770" s="760"/>
      <c r="F770" s="796">
        <v>0</v>
      </c>
      <c r="G770" s="797"/>
      <c r="H770" s="797"/>
      <c r="I770" s="797"/>
      <c r="J770" s="797"/>
      <c r="K770" s="797"/>
      <c r="L770" s="797"/>
      <c r="M770" s="797"/>
      <c r="N770" s="797"/>
      <c r="O770" s="797"/>
      <c r="P770" s="797"/>
      <c r="Q770" s="797"/>
      <c r="R770" s="797"/>
      <c r="S770" s="797"/>
      <c r="T770" s="797"/>
      <c r="U770" s="797"/>
      <c r="V770" s="797"/>
      <c r="W770" s="797"/>
      <c r="X770" s="797"/>
      <c r="Y770" s="797"/>
      <c r="Z770" s="797"/>
      <c r="AA770" s="797"/>
      <c r="AB770" s="798"/>
      <c r="AC770" s="799"/>
      <c r="AD770" s="800"/>
      <c r="AE770" s="800"/>
      <c r="AF770" s="801"/>
      <c r="AG770" s="466"/>
      <c r="AH770" s="467"/>
      <c r="AI770" s="467"/>
      <c r="AJ770" s="468"/>
      <c r="AK770" s="737"/>
      <c r="AL770" s="738"/>
      <c r="AM770" s="738"/>
      <c r="AN770" s="739"/>
      <c r="AO770" s="740"/>
      <c r="AP770" s="741"/>
      <c r="AQ770" s="741"/>
      <c r="AR770" s="742"/>
    </row>
    <row r="771" spans="3:44" ht="18" customHeight="1">
      <c r="C771" s="758"/>
      <c r="D771" s="759"/>
      <c r="E771" s="760"/>
      <c r="F771" s="796">
        <v>0</v>
      </c>
      <c r="G771" s="797"/>
      <c r="H771" s="797"/>
      <c r="I771" s="797"/>
      <c r="J771" s="797"/>
      <c r="K771" s="797"/>
      <c r="L771" s="797"/>
      <c r="M771" s="797"/>
      <c r="N771" s="797"/>
      <c r="O771" s="797"/>
      <c r="P771" s="797"/>
      <c r="Q771" s="797"/>
      <c r="R771" s="797"/>
      <c r="S771" s="797"/>
      <c r="T771" s="797"/>
      <c r="U771" s="797"/>
      <c r="V771" s="797"/>
      <c r="W771" s="797"/>
      <c r="X771" s="797"/>
      <c r="Y771" s="797"/>
      <c r="Z771" s="797"/>
      <c r="AA771" s="797"/>
      <c r="AB771" s="798"/>
      <c r="AC771" s="799">
        <v>0</v>
      </c>
      <c r="AD771" s="800"/>
      <c r="AE771" s="800"/>
      <c r="AF771" s="801"/>
      <c r="AG771" s="466">
        <v>0</v>
      </c>
      <c r="AH771" s="467"/>
      <c r="AI771" s="467"/>
      <c r="AJ771" s="468"/>
      <c r="AK771" s="737"/>
      <c r="AL771" s="738"/>
      <c r="AM771" s="738"/>
      <c r="AN771" s="739"/>
      <c r="AO771" s="740">
        <f>ROUND(AG771*AK771,2)</f>
        <v>0</v>
      </c>
      <c r="AP771" s="741"/>
      <c r="AQ771" s="741"/>
      <c r="AR771" s="742"/>
    </row>
    <row r="772" spans="3:44" ht="18" customHeight="1">
      <c r="C772" s="758"/>
      <c r="D772" s="759"/>
      <c r="E772" s="760"/>
      <c r="F772" s="796"/>
      <c r="G772" s="797"/>
      <c r="H772" s="797"/>
      <c r="I772" s="797"/>
      <c r="J772" s="797"/>
      <c r="K772" s="797"/>
      <c r="L772" s="797"/>
      <c r="M772" s="797"/>
      <c r="N772" s="797"/>
      <c r="O772" s="797"/>
      <c r="P772" s="797"/>
      <c r="Q772" s="797"/>
      <c r="R772" s="797"/>
      <c r="S772" s="797"/>
      <c r="T772" s="797"/>
      <c r="U772" s="797"/>
      <c r="V772" s="797"/>
      <c r="W772" s="797"/>
      <c r="X772" s="797"/>
      <c r="Y772" s="797"/>
      <c r="Z772" s="797"/>
      <c r="AA772" s="797"/>
      <c r="AB772" s="798"/>
      <c r="AC772" s="799"/>
      <c r="AD772" s="800"/>
      <c r="AE772" s="800"/>
      <c r="AF772" s="801"/>
      <c r="AG772" s="466"/>
      <c r="AH772" s="467"/>
      <c r="AI772" s="467"/>
      <c r="AJ772" s="468"/>
      <c r="AK772" s="737"/>
      <c r="AL772" s="738"/>
      <c r="AM772" s="738"/>
      <c r="AN772" s="739"/>
      <c r="AO772" s="740"/>
      <c r="AP772" s="741"/>
      <c r="AQ772" s="741"/>
      <c r="AR772" s="742"/>
    </row>
    <row r="773" spans="3:44" ht="18" customHeight="1">
      <c r="C773" s="758"/>
      <c r="D773" s="759"/>
      <c r="E773" s="760"/>
      <c r="F773" s="796"/>
      <c r="G773" s="797"/>
      <c r="H773" s="797"/>
      <c r="I773" s="797"/>
      <c r="J773" s="797"/>
      <c r="K773" s="797"/>
      <c r="L773" s="797"/>
      <c r="M773" s="797"/>
      <c r="N773" s="797"/>
      <c r="O773" s="797"/>
      <c r="P773" s="797"/>
      <c r="Q773" s="797"/>
      <c r="R773" s="797"/>
      <c r="S773" s="797"/>
      <c r="T773" s="797"/>
      <c r="U773" s="797"/>
      <c r="V773" s="797"/>
      <c r="W773" s="797"/>
      <c r="X773" s="797"/>
      <c r="Y773" s="797"/>
      <c r="Z773" s="797"/>
      <c r="AA773" s="797"/>
      <c r="AB773" s="798"/>
      <c r="AC773" s="799"/>
      <c r="AD773" s="800"/>
      <c r="AE773" s="800"/>
      <c r="AF773" s="801"/>
      <c r="AG773" s="466"/>
      <c r="AH773" s="467"/>
      <c r="AI773" s="467"/>
      <c r="AJ773" s="468"/>
      <c r="AK773" s="737"/>
      <c r="AL773" s="738"/>
      <c r="AM773" s="738"/>
      <c r="AN773" s="739"/>
      <c r="AO773" s="740"/>
      <c r="AP773" s="741"/>
      <c r="AQ773" s="741"/>
      <c r="AR773" s="742"/>
    </row>
    <row r="774" spans="3:44" ht="18" customHeight="1">
      <c r="C774" s="758"/>
      <c r="D774" s="759"/>
      <c r="E774" s="760"/>
      <c r="F774" s="796"/>
      <c r="G774" s="797"/>
      <c r="H774" s="797"/>
      <c r="I774" s="797"/>
      <c r="J774" s="797"/>
      <c r="K774" s="797"/>
      <c r="L774" s="797"/>
      <c r="M774" s="797"/>
      <c r="N774" s="797"/>
      <c r="O774" s="797"/>
      <c r="P774" s="797"/>
      <c r="Q774" s="797"/>
      <c r="R774" s="797"/>
      <c r="S774" s="797"/>
      <c r="T774" s="797"/>
      <c r="U774" s="797"/>
      <c r="V774" s="797"/>
      <c r="W774" s="797"/>
      <c r="X774" s="797"/>
      <c r="Y774" s="797"/>
      <c r="Z774" s="797"/>
      <c r="AA774" s="797"/>
      <c r="AB774" s="798"/>
      <c r="AC774" s="799"/>
      <c r="AD774" s="800"/>
      <c r="AE774" s="800"/>
      <c r="AF774" s="801"/>
      <c r="AG774" s="466"/>
      <c r="AH774" s="467"/>
      <c r="AI774" s="467"/>
      <c r="AJ774" s="468"/>
      <c r="AK774" s="737"/>
      <c r="AL774" s="738"/>
      <c r="AM774" s="738"/>
      <c r="AN774" s="739"/>
      <c r="AO774" s="740"/>
      <c r="AP774" s="741"/>
      <c r="AQ774" s="741"/>
      <c r="AR774" s="742"/>
    </row>
    <row r="775" spans="3:44" ht="18" customHeight="1">
      <c r="C775" s="743"/>
      <c r="D775" s="744"/>
      <c r="E775" s="744"/>
      <c r="F775" s="744"/>
      <c r="G775" s="744"/>
      <c r="H775" s="744"/>
      <c r="I775" s="744"/>
      <c r="J775" s="744"/>
      <c r="K775" s="744"/>
      <c r="L775" s="744"/>
      <c r="M775" s="744"/>
      <c r="N775" s="744"/>
      <c r="O775" s="744"/>
      <c r="P775" s="744"/>
      <c r="Q775" s="744"/>
      <c r="R775" s="744"/>
      <c r="S775" s="744"/>
      <c r="T775" s="744"/>
      <c r="U775" s="744"/>
      <c r="V775" s="744"/>
      <c r="W775" s="744"/>
      <c r="X775" s="744"/>
      <c r="Y775" s="745" t="s">
        <v>88</v>
      </c>
      <c r="Z775" s="745"/>
      <c r="AA775" s="745"/>
      <c r="AB775" s="745"/>
      <c r="AC775" s="745"/>
      <c r="AD775" s="745"/>
      <c r="AE775" s="745"/>
      <c r="AF775" s="745"/>
      <c r="AG775" s="745"/>
      <c r="AH775" s="745"/>
      <c r="AI775" s="745"/>
      <c r="AJ775" s="745"/>
      <c r="AK775" s="745"/>
      <c r="AL775" s="745"/>
      <c r="AM775" s="745"/>
      <c r="AN775" s="430"/>
      <c r="AO775" s="477">
        <f>SUM(AO767:AR774)</f>
        <v>13.01</v>
      </c>
      <c r="AP775" s="746"/>
      <c r="AQ775" s="746"/>
      <c r="AR775" s="747"/>
    </row>
    <row r="777" spans="3:44" ht="18" customHeight="1">
      <c r="C777" s="794" t="s">
        <v>43</v>
      </c>
      <c r="D777" s="774"/>
      <c r="E777" s="775"/>
      <c r="F777" s="773" t="s">
        <v>89</v>
      </c>
      <c r="G777" s="774"/>
      <c r="H777" s="774"/>
      <c r="I777" s="774"/>
      <c r="J777" s="774"/>
      <c r="K777" s="774"/>
      <c r="L777" s="774"/>
      <c r="M777" s="774"/>
      <c r="N777" s="774"/>
      <c r="O777" s="774"/>
      <c r="P777" s="774"/>
      <c r="Q777" s="774"/>
      <c r="R777" s="775"/>
      <c r="S777" s="773" t="s">
        <v>90</v>
      </c>
      <c r="T777" s="774"/>
      <c r="U777" s="775"/>
      <c r="V777" s="773" t="s">
        <v>91</v>
      </c>
      <c r="W777" s="774"/>
      <c r="X777" s="775"/>
      <c r="Y777" s="773" t="s">
        <v>92</v>
      </c>
      <c r="Z777" s="774"/>
      <c r="AA777" s="774"/>
      <c r="AB777" s="774"/>
      <c r="AC777" s="774"/>
      <c r="AD777" s="775"/>
      <c r="AE777" s="773" t="s">
        <v>93</v>
      </c>
      <c r="AF777" s="774"/>
      <c r="AG777" s="775"/>
      <c r="AH777" s="773" t="s">
        <v>94</v>
      </c>
      <c r="AI777" s="774"/>
      <c r="AJ777" s="775"/>
      <c r="AK777" s="773" t="s">
        <v>86</v>
      </c>
      <c r="AL777" s="774"/>
      <c r="AM777" s="774"/>
      <c r="AN777" s="775"/>
      <c r="AO777" s="773" t="s">
        <v>87</v>
      </c>
      <c r="AP777" s="774"/>
      <c r="AQ777" s="774"/>
      <c r="AR777" s="779"/>
    </row>
    <row r="778" spans="3:44" ht="18" customHeight="1">
      <c r="C778" s="795"/>
      <c r="D778" s="777"/>
      <c r="E778" s="778"/>
      <c r="F778" s="776"/>
      <c r="G778" s="777"/>
      <c r="H778" s="777"/>
      <c r="I778" s="777"/>
      <c r="J778" s="777"/>
      <c r="K778" s="777"/>
      <c r="L778" s="777"/>
      <c r="M778" s="777"/>
      <c r="N778" s="777"/>
      <c r="O778" s="777"/>
      <c r="P778" s="777"/>
      <c r="Q778" s="777"/>
      <c r="R778" s="778"/>
      <c r="S778" s="776"/>
      <c r="T778" s="777"/>
      <c r="U778" s="778"/>
      <c r="V778" s="776"/>
      <c r="W778" s="777"/>
      <c r="X778" s="778"/>
      <c r="Y778" s="776"/>
      <c r="Z778" s="777"/>
      <c r="AA778" s="777"/>
      <c r="AB778" s="777"/>
      <c r="AC778" s="777"/>
      <c r="AD778" s="778"/>
      <c r="AE778" s="776"/>
      <c r="AF778" s="777"/>
      <c r="AG778" s="778"/>
      <c r="AH778" s="776"/>
      <c r="AI778" s="777"/>
      <c r="AJ778" s="778"/>
      <c r="AK778" s="776"/>
      <c r="AL778" s="777"/>
      <c r="AM778" s="777"/>
      <c r="AN778" s="778"/>
      <c r="AO778" s="776"/>
      <c r="AP778" s="777"/>
      <c r="AQ778" s="777"/>
      <c r="AR778" s="780"/>
    </row>
    <row r="779" spans="3:44" ht="18" customHeight="1">
      <c r="C779" s="781"/>
      <c r="D779" s="782"/>
      <c r="E779" s="783"/>
      <c r="F779" s="457"/>
      <c r="G779" s="457"/>
      <c r="H779" s="457"/>
      <c r="I779" s="457"/>
      <c r="J779" s="457"/>
      <c r="K779" s="457"/>
      <c r="L779" s="457"/>
      <c r="M779" s="457"/>
      <c r="N779" s="457"/>
      <c r="O779" s="457"/>
      <c r="P779" s="457"/>
      <c r="Q779" s="457"/>
      <c r="R779" s="457"/>
      <c r="S779" s="784"/>
      <c r="T779" s="785"/>
      <c r="U779" s="786"/>
      <c r="V779" s="784"/>
      <c r="W779" s="785"/>
      <c r="X779" s="786"/>
      <c r="Y779" s="787"/>
      <c r="Z779" s="788"/>
      <c r="AA779" s="788"/>
      <c r="AB779" s="788"/>
      <c r="AC779" s="788"/>
      <c r="AD779" s="789"/>
      <c r="AE779" s="449"/>
      <c r="AF779" s="449"/>
      <c r="AG779" s="449"/>
      <c r="AH779" s="770"/>
      <c r="AI779" s="771"/>
      <c r="AJ779" s="790"/>
      <c r="AK779" s="791"/>
      <c r="AL779" s="792"/>
      <c r="AM779" s="792"/>
      <c r="AN779" s="793"/>
      <c r="AO779" s="770"/>
      <c r="AP779" s="771"/>
      <c r="AQ779" s="771"/>
      <c r="AR779" s="772"/>
    </row>
    <row r="780" spans="3:44" ht="18" customHeight="1">
      <c r="C780" s="758"/>
      <c r="D780" s="759"/>
      <c r="E780" s="760"/>
      <c r="F780" s="761"/>
      <c r="G780" s="762"/>
      <c r="H780" s="762"/>
      <c r="I780" s="762"/>
      <c r="J780" s="762"/>
      <c r="K780" s="762"/>
      <c r="L780" s="762"/>
      <c r="M780" s="762"/>
      <c r="N780" s="762"/>
      <c r="O780" s="762"/>
      <c r="P780" s="762"/>
      <c r="Q780" s="762"/>
      <c r="R780" s="763"/>
      <c r="S780" s="764"/>
      <c r="T780" s="765"/>
      <c r="U780" s="766"/>
      <c r="V780" s="764"/>
      <c r="W780" s="765"/>
      <c r="X780" s="766"/>
      <c r="Y780" s="767"/>
      <c r="Z780" s="768"/>
      <c r="AA780" s="768"/>
      <c r="AB780" s="768"/>
      <c r="AC780" s="768"/>
      <c r="AD780" s="769"/>
      <c r="AE780" s="740"/>
      <c r="AF780" s="741"/>
      <c r="AG780" s="757"/>
      <c r="AH780" s="740"/>
      <c r="AI780" s="741"/>
      <c r="AJ780" s="757"/>
      <c r="AK780" s="737"/>
      <c r="AL780" s="738"/>
      <c r="AM780" s="738"/>
      <c r="AN780" s="739"/>
      <c r="AO780" s="740">
        <f t="shared" ref="AO780:AO786" si="10">ROUND(AE780*AH780*AK780,2)</f>
        <v>0</v>
      </c>
      <c r="AP780" s="741"/>
      <c r="AQ780" s="741"/>
      <c r="AR780" s="742"/>
    </row>
    <row r="781" spans="3:44" ht="18" customHeight="1">
      <c r="C781" s="758"/>
      <c r="D781" s="759"/>
      <c r="E781" s="760"/>
      <c r="F781" s="761"/>
      <c r="G781" s="762"/>
      <c r="H781" s="762"/>
      <c r="I781" s="762"/>
      <c r="J781" s="762"/>
      <c r="K781" s="762"/>
      <c r="L781" s="762"/>
      <c r="M781" s="762"/>
      <c r="N781" s="762"/>
      <c r="O781" s="762"/>
      <c r="P781" s="762"/>
      <c r="Q781" s="762"/>
      <c r="R781" s="763"/>
      <c r="S781" s="764"/>
      <c r="T781" s="765"/>
      <c r="U781" s="766"/>
      <c r="V781" s="764"/>
      <c r="W781" s="765"/>
      <c r="X781" s="766"/>
      <c r="Y781" s="767"/>
      <c r="Z781" s="768"/>
      <c r="AA781" s="768"/>
      <c r="AB781" s="768"/>
      <c r="AC781" s="768"/>
      <c r="AD781" s="769"/>
      <c r="AE781" s="740"/>
      <c r="AF781" s="741"/>
      <c r="AG781" s="757"/>
      <c r="AH781" s="740"/>
      <c r="AI781" s="741"/>
      <c r="AJ781" s="757"/>
      <c r="AK781" s="737"/>
      <c r="AL781" s="738"/>
      <c r="AM781" s="738"/>
      <c r="AN781" s="739"/>
      <c r="AO781" s="740">
        <f t="shared" si="10"/>
        <v>0</v>
      </c>
      <c r="AP781" s="741"/>
      <c r="AQ781" s="741"/>
      <c r="AR781" s="742"/>
    </row>
    <row r="782" spans="3:44" ht="18" customHeight="1">
      <c r="C782" s="758"/>
      <c r="D782" s="759"/>
      <c r="E782" s="760"/>
      <c r="F782" s="761"/>
      <c r="G782" s="762"/>
      <c r="H782" s="762"/>
      <c r="I782" s="762"/>
      <c r="J782" s="762"/>
      <c r="K782" s="762"/>
      <c r="L782" s="762"/>
      <c r="M782" s="762"/>
      <c r="N782" s="762"/>
      <c r="O782" s="762"/>
      <c r="P782" s="762"/>
      <c r="Q782" s="762"/>
      <c r="R782" s="763"/>
      <c r="S782" s="764"/>
      <c r="T782" s="765"/>
      <c r="U782" s="766"/>
      <c r="V782" s="764"/>
      <c r="W782" s="765"/>
      <c r="X782" s="766"/>
      <c r="Y782" s="767"/>
      <c r="Z782" s="768"/>
      <c r="AA782" s="768"/>
      <c r="AB782" s="768"/>
      <c r="AC782" s="768"/>
      <c r="AD782" s="769"/>
      <c r="AE782" s="740"/>
      <c r="AF782" s="741"/>
      <c r="AG782" s="757"/>
      <c r="AH782" s="740"/>
      <c r="AI782" s="741"/>
      <c r="AJ782" s="757"/>
      <c r="AK782" s="737"/>
      <c r="AL782" s="738"/>
      <c r="AM782" s="738"/>
      <c r="AN782" s="739"/>
      <c r="AO782" s="740">
        <f t="shared" si="10"/>
        <v>0</v>
      </c>
      <c r="AP782" s="741"/>
      <c r="AQ782" s="741"/>
      <c r="AR782" s="742"/>
    </row>
    <row r="783" spans="3:44" ht="18" customHeight="1">
      <c r="C783" s="758"/>
      <c r="D783" s="759"/>
      <c r="E783" s="760"/>
      <c r="F783" s="761"/>
      <c r="G783" s="762"/>
      <c r="H783" s="762"/>
      <c r="I783" s="762"/>
      <c r="J783" s="762"/>
      <c r="K783" s="762"/>
      <c r="L783" s="762"/>
      <c r="M783" s="762"/>
      <c r="N783" s="762"/>
      <c r="O783" s="762"/>
      <c r="P783" s="762"/>
      <c r="Q783" s="762"/>
      <c r="R783" s="763"/>
      <c r="S783" s="764"/>
      <c r="T783" s="765"/>
      <c r="U783" s="766"/>
      <c r="V783" s="764"/>
      <c r="W783" s="765"/>
      <c r="X783" s="766"/>
      <c r="Y783" s="767"/>
      <c r="Z783" s="768"/>
      <c r="AA783" s="768"/>
      <c r="AB783" s="768"/>
      <c r="AC783" s="768"/>
      <c r="AD783" s="769"/>
      <c r="AE783" s="740"/>
      <c r="AF783" s="741"/>
      <c r="AG783" s="757"/>
      <c r="AH783" s="740"/>
      <c r="AI783" s="741"/>
      <c r="AJ783" s="757"/>
      <c r="AK783" s="737"/>
      <c r="AL783" s="738"/>
      <c r="AM783" s="738"/>
      <c r="AN783" s="739"/>
      <c r="AO783" s="740">
        <f t="shared" si="10"/>
        <v>0</v>
      </c>
      <c r="AP783" s="741"/>
      <c r="AQ783" s="741"/>
      <c r="AR783" s="742"/>
    </row>
    <row r="784" spans="3:44" ht="18" customHeight="1">
      <c r="C784" s="758"/>
      <c r="D784" s="759"/>
      <c r="E784" s="760"/>
      <c r="F784" s="761"/>
      <c r="G784" s="762"/>
      <c r="H784" s="762"/>
      <c r="I784" s="762"/>
      <c r="J784" s="762"/>
      <c r="K784" s="762"/>
      <c r="L784" s="762"/>
      <c r="M784" s="762"/>
      <c r="N784" s="762"/>
      <c r="O784" s="762"/>
      <c r="P784" s="762"/>
      <c r="Q784" s="762"/>
      <c r="R784" s="763"/>
      <c r="S784" s="764"/>
      <c r="T784" s="765"/>
      <c r="U784" s="766"/>
      <c r="V784" s="764"/>
      <c r="W784" s="765"/>
      <c r="X784" s="766"/>
      <c r="Y784" s="767"/>
      <c r="Z784" s="768"/>
      <c r="AA784" s="768"/>
      <c r="AB784" s="768"/>
      <c r="AC784" s="768"/>
      <c r="AD784" s="769"/>
      <c r="AE784" s="740"/>
      <c r="AF784" s="741"/>
      <c r="AG784" s="757"/>
      <c r="AH784" s="740"/>
      <c r="AI784" s="741"/>
      <c r="AJ784" s="757"/>
      <c r="AK784" s="737"/>
      <c r="AL784" s="738"/>
      <c r="AM784" s="738"/>
      <c r="AN784" s="739"/>
      <c r="AO784" s="740">
        <f t="shared" si="10"/>
        <v>0</v>
      </c>
      <c r="AP784" s="741"/>
      <c r="AQ784" s="741"/>
      <c r="AR784" s="742"/>
    </row>
    <row r="785" spans="1:44" ht="18" customHeight="1">
      <c r="C785" s="758"/>
      <c r="D785" s="759"/>
      <c r="E785" s="760"/>
      <c r="F785" s="761"/>
      <c r="G785" s="762"/>
      <c r="H785" s="762"/>
      <c r="I785" s="762"/>
      <c r="J785" s="762"/>
      <c r="K785" s="762"/>
      <c r="L785" s="762"/>
      <c r="M785" s="762"/>
      <c r="N785" s="762"/>
      <c r="O785" s="762"/>
      <c r="P785" s="762"/>
      <c r="Q785" s="762"/>
      <c r="R785" s="763"/>
      <c r="S785" s="764"/>
      <c r="T785" s="765"/>
      <c r="U785" s="766"/>
      <c r="V785" s="764"/>
      <c r="W785" s="765"/>
      <c r="X785" s="766"/>
      <c r="Y785" s="767"/>
      <c r="Z785" s="768"/>
      <c r="AA785" s="768"/>
      <c r="AB785" s="768"/>
      <c r="AC785" s="768"/>
      <c r="AD785" s="769"/>
      <c r="AE785" s="740"/>
      <c r="AF785" s="741"/>
      <c r="AG785" s="757"/>
      <c r="AH785" s="740"/>
      <c r="AI785" s="741"/>
      <c r="AJ785" s="757"/>
      <c r="AK785" s="737"/>
      <c r="AL785" s="738"/>
      <c r="AM785" s="738"/>
      <c r="AN785" s="739"/>
      <c r="AO785" s="740">
        <f t="shared" si="10"/>
        <v>0</v>
      </c>
      <c r="AP785" s="741"/>
      <c r="AQ785" s="741"/>
      <c r="AR785" s="742"/>
    </row>
    <row r="786" spans="1:44" ht="18" customHeight="1">
      <c r="C786" s="758"/>
      <c r="D786" s="759"/>
      <c r="E786" s="760"/>
      <c r="F786" s="761"/>
      <c r="G786" s="762"/>
      <c r="H786" s="762"/>
      <c r="I786" s="762"/>
      <c r="J786" s="762"/>
      <c r="K786" s="762"/>
      <c r="L786" s="762"/>
      <c r="M786" s="762"/>
      <c r="N786" s="762"/>
      <c r="O786" s="762"/>
      <c r="P786" s="762"/>
      <c r="Q786" s="762"/>
      <c r="R786" s="763"/>
      <c r="S786" s="764"/>
      <c r="T786" s="765"/>
      <c r="U786" s="766"/>
      <c r="V786" s="764"/>
      <c r="W786" s="765"/>
      <c r="X786" s="766"/>
      <c r="Y786" s="767"/>
      <c r="Z786" s="768"/>
      <c r="AA786" s="768"/>
      <c r="AB786" s="768"/>
      <c r="AC786" s="768"/>
      <c r="AD786" s="769"/>
      <c r="AE786" s="740"/>
      <c r="AF786" s="741"/>
      <c r="AG786" s="757"/>
      <c r="AH786" s="740"/>
      <c r="AI786" s="741"/>
      <c r="AJ786" s="757"/>
      <c r="AK786" s="737"/>
      <c r="AL786" s="738"/>
      <c r="AM786" s="738"/>
      <c r="AN786" s="739"/>
      <c r="AO786" s="740">
        <f t="shared" si="10"/>
        <v>0</v>
      </c>
      <c r="AP786" s="741"/>
      <c r="AQ786" s="741"/>
      <c r="AR786" s="742"/>
    </row>
    <row r="787" spans="1:44" ht="18" customHeight="1">
      <c r="C787" s="743"/>
      <c r="D787" s="744"/>
      <c r="E787" s="744"/>
      <c r="F787" s="744"/>
      <c r="G787" s="744"/>
      <c r="H787" s="744"/>
      <c r="I787" s="744"/>
      <c r="J787" s="744"/>
      <c r="K787" s="744"/>
      <c r="L787" s="744"/>
      <c r="M787" s="744"/>
      <c r="N787" s="744"/>
      <c r="O787" s="744"/>
      <c r="P787" s="744"/>
      <c r="Q787" s="744"/>
      <c r="R787" s="744"/>
      <c r="S787" s="744"/>
      <c r="T787" s="744"/>
      <c r="U787" s="744"/>
      <c r="V787" s="744"/>
      <c r="W787" s="744"/>
      <c r="X787" s="744"/>
      <c r="Y787" s="745" t="s">
        <v>95</v>
      </c>
      <c r="Z787" s="745"/>
      <c r="AA787" s="745"/>
      <c r="AB787" s="745"/>
      <c r="AC787" s="745"/>
      <c r="AD787" s="745"/>
      <c r="AE787" s="745"/>
      <c r="AF787" s="745"/>
      <c r="AG787" s="745"/>
      <c r="AH787" s="745"/>
      <c r="AI787" s="745"/>
      <c r="AJ787" s="745"/>
      <c r="AK787" s="745"/>
      <c r="AL787" s="745"/>
      <c r="AM787" s="745"/>
      <c r="AN787" s="430"/>
      <c r="AO787" s="477">
        <f>SUM(AO779:AR786)</f>
        <v>0</v>
      </c>
      <c r="AP787" s="746"/>
      <c r="AQ787" s="746"/>
      <c r="AR787" s="747"/>
    </row>
    <row r="789" spans="1:44" ht="18" customHeight="1">
      <c r="C789" s="434"/>
      <c r="D789" s="434"/>
      <c r="E789" s="434"/>
      <c r="F789" s="434"/>
      <c r="G789" s="434"/>
      <c r="H789" s="434"/>
      <c r="I789" s="434"/>
      <c r="J789" s="434"/>
      <c r="K789" s="434"/>
      <c r="L789" s="434"/>
      <c r="M789" s="434"/>
      <c r="N789" s="434"/>
      <c r="O789" s="434"/>
      <c r="P789" s="434"/>
      <c r="Q789" s="434"/>
      <c r="R789" s="434"/>
      <c r="S789" s="434"/>
      <c r="T789" s="434"/>
      <c r="U789" s="434"/>
      <c r="V789" s="434"/>
      <c r="W789" s="434"/>
      <c r="X789" s="748"/>
      <c r="Y789" s="749" t="s">
        <v>96</v>
      </c>
      <c r="Z789" s="750"/>
      <c r="AA789" s="750"/>
      <c r="AB789" s="750"/>
      <c r="AC789" s="750"/>
      <c r="AD789" s="750"/>
      <c r="AE789" s="750"/>
      <c r="AF789" s="750"/>
      <c r="AG789" s="750"/>
      <c r="AH789" s="750"/>
      <c r="AI789" s="750"/>
      <c r="AJ789" s="750"/>
      <c r="AK789" s="750"/>
      <c r="AL789" s="750"/>
      <c r="AM789" s="750"/>
      <c r="AN789" s="751"/>
      <c r="AO789" s="752">
        <f>AO763+AO775+AO787</f>
        <v>23.759999999999998</v>
      </c>
      <c r="AP789" s="753"/>
      <c r="AQ789" s="753"/>
      <c r="AR789" s="754"/>
    </row>
    <row r="790" spans="1:44" ht="18" customHeight="1">
      <c r="C790" s="434"/>
      <c r="D790" s="434"/>
      <c r="E790" s="434"/>
      <c r="F790" s="434"/>
      <c r="G790" s="434"/>
      <c r="H790" s="434"/>
      <c r="I790" s="434"/>
      <c r="J790" s="434"/>
      <c r="K790" s="434"/>
      <c r="L790" s="434"/>
      <c r="M790" s="434"/>
      <c r="N790" s="434"/>
      <c r="O790" s="434"/>
      <c r="P790" s="434"/>
      <c r="Q790" s="434"/>
      <c r="R790" s="434"/>
      <c r="S790" s="434"/>
      <c r="T790" s="434"/>
      <c r="U790" s="434"/>
      <c r="V790" s="434"/>
      <c r="W790" s="434"/>
      <c r="X790" s="748"/>
      <c r="Y790" s="755" t="s">
        <v>97</v>
      </c>
      <c r="Z790" s="756"/>
      <c r="AA790" s="756"/>
      <c r="AB790" s="756"/>
      <c r="AC790" s="756"/>
      <c r="AD790" s="756"/>
      <c r="AE790" s="756"/>
      <c r="AF790" s="756"/>
      <c r="AG790" s="756"/>
      <c r="AH790" s="442">
        <v>0.2031</v>
      </c>
      <c r="AI790" s="442"/>
      <c r="AJ790" s="442"/>
      <c r="AK790" s="442"/>
      <c r="AL790" s="442"/>
      <c r="AM790" s="442"/>
      <c r="AN790" s="443"/>
      <c r="AO790" s="728">
        <f>ROUND(AO789*AH790,2)</f>
        <v>4.83</v>
      </c>
      <c r="AP790" s="729"/>
      <c r="AQ790" s="729"/>
      <c r="AR790" s="730"/>
    </row>
    <row r="791" spans="1:44" ht="18" customHeight="1">
      <c r="A791" s="415" t="s">
        <v>690</v>
      </c>
      <c r="B791" s="415"/>
      <c r="C791" s="434"/>
      <c r="D791" s="434"/>
      <c r="E791" s="434"/>
      <c r="F791" s="434"/>
      <c r="G791" s="434"/>
      <c r="H791" s="434"/>
      <c r="I791" s="434"/>
      <c r="J791" s="434"/>
      <c r="K791" s="434"/>
      <c r="L791" s="434"/>
      <c r="M791" s="434"/>
      <c r="N791" s="434"/>
      <c r="O791" s="434"/>
      <c r="P791" s="434"/>
      <c r="Q791" s="434"/>
      <c r="R791" s="434"/>
      <c r="S791" s="434"/>
      <c r="T791" s="434"/>
      <c r="U791" s="434"/>
      <c r="V791" s="434"/>
      <c r="W791" s="434"/>
      <c r="X791" s="748"/>
      <c r="Y791" s="731" t="s">
        <v>98</v>
      </c>
      <c r="Z791" s="732"/>
      <c r="AA791" s="732"/>
      <c r="AB791" s="732"/>
      <c r="AC791" s="732"/>
      <c r="AD791" s="732"/>
      <c r="AE791" s="732"/>
      <c r="AF791" s="732"/>
      <c r="AG791" s="732"/>
      <c r="AH791" s="732"/>
      <c r="AI791" s="732"/>
      <c r="AJ791" s="732"/>
      <c r="AK791" s="732"/>
      <c r="AL791" s="732"/>
      <c r="AM791" s="732"/>
      <c r="AN791" s="733"/>
      <c r="AO791" s="734">
        <f>SUM(AO789:AR790)</f>
        <v>28.589999999999996</v>
      </c>
      <c r="AP791" s="735"/>
      <c r="AQ791" s="735"/>
      <c r="AR791" s="736"/>
    </row>
    <row r="793" spans="1:44" ht="18" customHeight="1">
      <c r="C793" s="420" t="s">
        <v>99</v>
      </c>
      <c r="D793" s="421"/>
      <c r="E793" s="421"/>
      <c r="F793" s="421"/>
      <c r="G793" s="421"/>
      <c r="H793" s="421"/>
      <c r="I793" s="422"/>
      <c r="J793" s="422"/>
      <c r="K793" s="422"/>
      <c r="L793" s="422"/>
      <c r="M793" s="422"/>
      <c r="N793" s="422"/>
      <c r="O793" s="422"/>
      <c r="P793" s="422"/>
      <c r="Q793" s="422"/>
      <c r="R793" s="422"/>
      <c r="S793" s="422"/>
      <c r="T793" s="422"/>
      <c r="U793" s="422"/>
      <c r="V793" s="422"/>
      <c r="W793" s="422"/>
      <c r="X793" s="422"/>
      <c r="Y793" s="422"/>
      <c r="Z793" s="422"/>
      <c r="AA793" s="422"/>
      <c r="AB793" s="422"/>
      <c r="AC793" s="422"/>
      <c r="AD793" s="422"/>
      <c r="AE793" s="422"/>
      <c r="AF793" s="422"/>
      <c r="AG793" s="422"/>
      <c r="AH793" s="422"/>
      <c r="AI793" s="422"/>
      <c r="AJ793" s="422"/>
      <c r="AK793" s="422"/>
      <c r="AL793" s="422"/>
      <c r="AM793" s="422"/>
      <c r="AN793" s="422"/>
      <c r="AO793" s="422"/>
      <c r="AP793" s="422"/>
      <c r="AQ793" s="422"/>
      <c r="AR793" s="423"/>
    </row>
    <row r="794" spans="1:44" ht="18" customHeight="1">
      <c r="C794" s="411"/>
      <c r="D794" s="412"/>
      <c r="E794" s="412"/>
      <c r="F794" s="412"/>
      <c r="G794" s="412"/>
      <c r="H794" s="412"/>
      <c r="I794" s="409"/>
      <c r="J794" s="409"/>
      <c r="K794" s="409"/>
      <c r="L794" s="409"/>
      <c r="M794" s="409"/>
      <c r="N794" s="409"/>
      <c r="O794" s="409"/>
      <c r="P794" s="409"/>
      <c r="Q794" s="409"/>
      <c r="R794" s="409"/>
      <c r="S794" s="409"/>
      <c r="T794" s="409"/>
      <c r="U794" s="409"/>
      <c r="V794" s="409"/>
      <c r="W794" s="409"/>
      <c r="X794" s="409"/>
      <c r="Y794" s="409"/>
      <c r="Z794" s="409"/>
      <c r="AA794" s="409"/>
      <c r="AB794" s="409"/>
      <c r="AC794" s="409"/>
      <c r="AD794" s="409"/>
      <c r="AE794" s="409"/>
      <c r="AF794" s="409"/>
      <c r="AG794" s="409"/>
      <c r="AH794" s="409"/>
      <c r="AI794" s="409"/>
      <c r="AJ794" s="409"/>
      <c r="AK794" s="409"/>
      <c r="AL794" s="409"/>
      <c r="AM794" s="409"/>
      <c r="AN794" s="409"/>
      <c r="AO794" s="409"/>
      <c r="AP794" s="409"/>
      <c r="AQ794" s="409"/>
      <c r="AR794" s="410"/>
    </row>
    <row r="795" spans="1:44" ht="18" customHeight="1">
      <c r="C795" s="411"/>
      <c r="D795" s="412"/>
      <c r="E795" s="412"/>
      <c r="F795" s="412"/>
      <c r="G795" s="412"/>
      <c r="H795" s="412"/>
      <c r="I795" s="409"/>
      <c r="J795" s="409"/>
      <c r="K795" s="409"/>
      <c r="L795" s="409"/>
      <c r="M795" s="409"/>
      <c r="N795" s="409"/>
      <c r="O795" s="409"/>
      <c r="P795" s="409"/>
      <c r="Q795" s="409"/>
      <c r="R795" s="409"/>
      <c r="S795" s="409"/>
      <c r="T795" s="409"/>
      <c r="U795" s="409"/>
      <c r="V795" s="409"/>
      <c r="W795" s="409"/>
      <c r="X795" s="409"/>
      <c r="Y795" s="409"/>
      <c r="Z795" s="409"/>
      <c r="AA795" s="409"/>
      <c r="AB795" s="409"/>
      <c r="AC795" s="409"/>
      <c r="AD795" s="409"/>
      <c r="AE795" s="409"/>
      <c r="AF795" s="409"/>
      <c r="AG795" s="409"/>
      <c r="AH795" s="409"/>
      <c r="AI795" s="409"/>
      <c r="AJ795" s="409"/>
      <c r="AK795" s="409"/>
      <c r="AL795" s="409"/>
      <c r="AM795" s="409"/>
      <c r="AN795" s="409"/>
      <c r="AO795" s="409"/>
      <c r="AP795" s="409"/>
      <c r="AQ795" s="409"/>
      <c r="AR795" s="410"/>
    </row>
    <row r="796" spans="1:44" ht="18" customHeight="1">
      <c r="C796" s="411"/>
      <c r="D796" s="412"/>
      <c r="E796" s="412"/>
      <c r="F796" s="412"/>
      <c r="G796" s="412"/>
      <c r="H796" s="412"/>
      <c r="I796" s="409"/>
      <c r="J796" s="409"/>
      <c r="K796" s="409"/>
      <c r="L796" s="409"/>
      <c r="M796" s="409"/>
      <c r="N796" s="409"/>
      <c r="O796" s="409"/>
      <c r="P796" s="409"/>
      <c r="Q796" s="409"/>
      <c r="R796" s="409"/>
      <c r="S796" s="409"/>
      <c r="T796" s="409"/>
      <c r="U796" s="409"/>
      <c r="V796" s="409"/>
      <c r="W796" s="409"/>
      <c r="X796" s="409"/>
      <c r="Y796" s="409"/>
      <c r="Z796" s="409"/>
      <c r="AA796" s="409"/>
      <c r="AB796" s="409"/>
      <c r="AC796" s="409"/>
      <c r="AD796" s="409"/>
      <c r="AE796" s="409"/>
      <c r="AF796" s="409"/>
      <c r="AG796" s="409"/>
      <c r="AH796" s="409"/>
      <c r="AI796" s="409"/>
      <c r="AJ796" s="409"/>
      <c r="AK796" s="409"/>
      <c r="AL796" s="409"/>
      <c r="AM796" s="409"/>
      <c r="AN796" s="409"/>
      <c r="AO796" s="409"/>
      <c r="AP796" s="409"/>
      <c r="AQ796" s="409"/>
      <c r="AR796" s="410"/>
    </row>
    <row r="797" spans="1:44" ht="18" customHeight="1">
      <c r="C797" s="411"/>
      <c r="D797" s="412"/>
      <c r="E797" s="412"/>
      <c r="F797" s="412"/>
      <c r="G797" s="412"/>
      <c r="H797" s="412"/>
      <c r="I797" s="409"/>
      <c r="J797" s="409"/>
      <c r="K797" s="409"/>
      <c r="L797" s="409"/>
      <c r="M797" s="409"/>
      <c r="N797" s="409"/>
      <c r="O797" s="409"/>
      <c r="P797" s="409"/>
      <c r="Q797" s="409"/>
      <c r="R797" s="409"/>
      <c r="S797" s="409"/>
      <c r="T797" s="409"/>
      <c r="U797" s="409"/>
      <c r="V797" s="409"/>
      <c r="W797" s="409"/>
      <c r="X797" s="409"/>
      <c r="Y797" s="409"/>
      <c r="Z797" s="409"/>
      <c r="AA797" s="409"/>
      <c r="AB797" s="409"/>
      <c r="AC797" s="409"/>
      <c r="AD797" s="409"/>
      <c r="AE797" s="409"/>
      <c r="AF797" s="409"/>
      <c r="AG797" s="409"/>
      <c r="AH797" s="409"/>
      <c r="AI797" s="409"/>
      <c r="AJ797" s="409"/>
      <c r="AK797" s="409"/>
      <c r="AL797" s="409"/>
      <c r="AM797" s="409"/>
      <c r="AN797" s="409"/>
      <c r="AO797" s="409"/>
      <c r="AP797" s="409"/>
      <c r="AQ797" s="409"/>
      <c r="AR797" s="410"/>
    </row>
    <row r="798" spans="1:44" ht="18" customHeight="1">
      <c r="C798" s="385"/>
      <c r="D798" s="386"/>
      <c r="E798" s="386"/>
      <c r="F798" s="386"/>
      <c r="G798" s="386"/>
      <c r="H798" s="386"/>
      <c r="I798" s="387"/>
      <c r="J798" s="387"/>
      <c r="K798" s="387"/>
      <c r="L798" s="387"/>
      <c r="M798" s="387"/>
      <c r="N798" s="387"/>
      <c r="O798" s="387"/>
      <c r="P798" s="387"/>
      <c r="Q798" s="387"/>
      <c r="R798" s="387"/>
      <c r="S798" s="387"/>
      <c r="T798" s="387"/>
      <c r="U798" s="387"/>
      <c r="V798" s="387"/>
      <c r="W798" s="387"/>
      <c r="X798" s="387"/>
      <c r="Y798" s="387"/>
      <c r="Z798" s="387"/>
      <c r="AA798" s="387"/>
      <c r="AB798" s="387"/>
      <c r="AC798" s="387"/>
      <c r="AD798" s="387"/>
      <c r="AE798" s="387"/>
      <c r="AF798" s="387"/>
      <c r="AG798" s="387"/>
      <c r="AH798" s="387"/>
      <c r="AI798" s="387"/>
      <c r="AJ798" s="387"/>
      <c r="AK798" s="387"/>
      <c r="AL798" s="387"/>
      <c r="AM798" s="387"/>
      <c r="AN798" s="387"/>
      <c r="AO798" s="387"/>
      <c r="AP798" s="387"/>
      <c r="AQ798" s="387"/>
      <c r="AR798" s="388"/>
    </row>
    <row r="800" spans="1:44" ht="18" customHeight="1">
      <c r="C800" s="389" t="s">
        <v>100</v>
      </c>
      <c r="D800" s="390"/>
      <c r="E800" s="390"/>
      <c r="F800" s="390"/>
      <c r="G800" s="390"/>
      <c r="H800" s="390"/>
      <c r="I800" s="390"/>
      <c r="J800" s="390"/>
      <c r="K800" s="390"/>
      <c r="L800" s="390"/>
      <c r="M800" s="390"/>
      <c r="N800" s="390"/>
      <c r="O800" s="390"/>
      <c r="P800" s="390"/>
      <c r="Q800" s="390"/>
      <c r="R800" s="390"/>
      <c r="S800" s="390"/>
      <c r="T800" s="390"/>
      <c r="U800" s="390"/>
      <c r="V800" s="390"/>
      <c r="W800" s="390"/>
      <c r="X800" s="390"/>
      <c r="Y800" s="390"/>
      <c r="Z800" s="390"/>
      <c r="AA800" s="391"/>
      <c r="AB800" s="392" t="str">
        <f>[4]C.UNIT.SERV.!$E$5</f>
        <v>DATA-BASE:      MAIO/2011/PR</v>
      </c>
      <c r="AC800" s="393"/>
      <c r="AD800" s="393"/>
      <c r="AE800" s="393"/>
      <c r="AF800" s="393"/>
      <c r="AG800" s="393"/>
      <c r="AH800" s="393"/>
      <c r="AI800" s="394"/>
      <c r="AJ800" s="392"/>
      <c r="AK800" s="393"/>
      <c r="AL800" s="393"/>
      <c r="AM800" s="393"/>
      <c r="AN800" s="393"/>
      <c r="AO800" s="393"/>
      <c r="AP800" s="393"/>
      <c r="AQ800" s="393"/>
      <c r="AR800" s="401"/>
    </row>
    <row r="801" spans="3:44" ht="18" customHeight="1">
      <c r="C801" s="404" t="s">
        <v>101</v>
      </c>
      <c r="D801" s="405"/>
      <c r="E801" s="405"/>
      <c r="F801" s="405"/>
      <c r="G801" s="405" t="s">
        <v>283</v>
      </c>
      <c r="H801" s="405"/>
      <c r="I801" s="405"/>
      <c r="J801" s="405"/>
      <c r="K801" s="405"/>
      <c r="L801" s="405"/>
      <c r="M801" s="405"/>
      <c r="N801" s="405"/>
      <c r="O801" s="405"/>
      <c r="P801" s="405"/>
      <c r="Q801" s="405"/>
      <c r="R801" s="405"/>
      <c r="S801" s="405"/>
      <c r="T801" s="405"/>
      <c r="U801" s="405"/>
      <c r="V801" s="405"/>
      <c r="W801" s="405"/>
      <c r="X801" s="405"/>
      <c r="Y801" s="405"/>
      <c r="Z801" s="405"/>
      <c r="AA801" s="406"/>
      <c r="AB801" s="395"/>
      <c r="AC801" s="396"/>
      <c r="AD801" s="396"/>
      <c r="AE801" s="396"/>
      <c r="AF801" s="396"/>
      <c r="AG801" s="396"/>
      <c r="AH801" s="396"/>
      <c r="AI801" s="397"/>
      <c r="AJ801" s="395"/>
      <c r="AK801" s="396"/>
      <c r="AL801" s="396"/>
      <c r="AM801" s="396"/>
      <c r="AN801" s="396"/>
      <c r="AO801" s="396"/>
      <c r="AP801" s="396"/>
      <c r="AQ801" s="396"/>
      <c r="AR801" s="402"/>
    </row>
    <row r="802" spans="3:44" ht="18" customHeight="1">
      <c r="C802" s="404" t="s">
        <v>102</v>
      </c>
      <c r="D802" s="405"/>
      <c r="E802" s="405"/>
      <c r="F802" s="405"/>
      <c r="G802" s="405"/>
      <c r="H802" s="405"/>
      <c r="I802" s="405"/>
      <c r="J802" s="405"/>
      <c r="K802" s="405"/>
      <c r="L802" s="405"/>
      <c r="M802" s="405"/>
      <c r="N802" s="405"/>
      <c r="O802" s="405"/>
      <c r="P802" s="405"/>
      <c r="Q802" s="405"/>
      <c r="R802" s="405"/>
      <c r="S802" s="405"/>
      <c r="T802" s="405"/>
      <c r="U802" s="405"/>
      <c r="V802" s="405"/>
      <c r="W802" s="405"/>
      <c r="X802" s="405"/>
      <c r="Y802" s="405"/>
      <c r="Z802" s="405"/>
      <c r="AA802" s="406"/>
      <c r="AB802" s="395"/>
      <c r="AC802" s="396"/>
      <c r="AD802" s="396"/>
      <c r="AE802" s="396"/>
      <c r="AF802" s="396"/>
      <c r="AG802" s="396"/>
      <c r="AH802" s="396"/>
      <c r="AI802" s="397"/>
      <c r="AJ802" s="395"/>
      <c r="AK802" s="396"/>
      <c r="AL802" s="396"/>
      <c r="AM802" s="396"/>
      <c r="AN802" s="396"/>
      <c r="AO802" s="396"/>
      <c r="AP802" s="396"/>
      <c r="AQ802" s="396"/>
      <c r="AR802" s="402"/>
    </row>
    <row r="803" spans="3:44" ht="18" customHeight="1">
      <c r="C803" s="407"/>
      <c r="D803" s="408"/>
      <c r="E803" s="408"/>
      <c r="F803" s="408"/>
      <c r="G803" s="408"/>
      <c r="H803" s="408"/>
      <c r="I803" s="408"/>
      <c r="J803" s="408"/>
      <c r="K803" s="408"/>
      <c r="L803" s="408"/>
      <c r="M803" s="408"/>
      <c r="N803" s="408"/>
      <c r="O803" s="408"/>
      <c r="P803" s="408"/>
      <c r="Q803" s="408"/>
      <c r="R803" s="408"/>
      <c r="S803" s="408"/>
      <c r="T803" s="408"/>
      <c r="U803" s="408"/>
      <c r="V803" s="408"/>
      <c r="W803" s="408"/>
      <c r="X803" s="408"/>
      <c r="Y803" s="408"/>
      <c r="Z803" s="408"/>
      <c r="AA803" s="408"/>
      <c r="AB803" s="398"/>
      <c r="AC803" s="399"/>
      <c r="AD803" s="399"/>
      <c r="AE803" s="399"/>
      <c r="AF803" s="399"/>
      <c r="AG803" s="399"/>
      <c r="AH803" s="399"/>
      <c r="AI803" s="400"/>
      <c r="AJ803" s="398"/>
      <c r="AK803" s="399"/>
      <c r="AL803" s="399"/>
      <c r="AM803" s="399"/>
      <c r="AN803" s="399"/>
      <c r="AO803" s="399"/>
      <c r="AP803" s="399"/>
      <c r="AQ803" s="399"/>
      <c r="AR803" s="403"/>
    </row>
  </sheetData>
  <mergeCells count="3773">
    <mergeCell ref="C657:AA657"/>
    <mergeCell ref="AC650:AR650"/>
    <mergeCell ref="C651:H651"/>
    <mergeCell ref="I651:J651"/>
    <mergeCell ref="K651:Z651"/>
    <mergeCell ref="AA651:AB651"/>
    <mergeCell ref="AC651:AR651"/>
    <mergeCell ref="C652:H652"/>
    <mergeCell ref="I652:J652"/>
    <mergeCell ref="K652:Z652"/>
    <mergeCell ref="AA652:AB652"/>
    <mergeCell ref="AC652:AR652"/>
    <mergeCell ref="C654:F654"/>
    <mergeCell ref="G654:AA654"/>
    <mergeCell ref="AB654:AI657"/>
    <mergeCell ref="AJ654:AR657"/>
    <mergeCell ref="C655:F655"/>
    <mergeCell ref="AC648:AR648"/>
    <mergeCell ref="C649:H649"/>
    <mergeCell ref="I649:J649"/>
    <mergeCell ref="K649:Z649"/>
    <mergeCell ref="AA649:AB649"/>
    <mergeCell ref="AC649:AR649"/>
    <mergeCell ref="C650:H650"/>
    <mergeCell ref="I650:J650"/>
    <mergeCell ref="K650:Z650"/>
    <mergeCell ref="AA650:AB650"/>
    <mergeCell ref="C648:H648"/>
    <mergeCell ref="I648:J648"/>
    <mergeCell ref="K648:Z648"/>
    <mergeCell ref="AA648:AB648"/>
    <mergeCell ref="G655:AA655"/>
    <mergeCell ref="C656:F656"/>
    <mergeCell ref="G656:AA656"/>
    <mergeCell ref="C641:X641"/>
    <mergeCell ref="Y641:AN641"/>
    <mergeCell ref="AO641:AR641"/>
    <mergeCell ref="C643:X645"/>
    <mergeCell ref="Y643:AN643"/>
    <mergeCell ref="AO643:AR643"/>
    <mergeCell ref="Y644:AG644"/>
    <mergeCell ref="AH644:AN644"/>
    <mergeCell ref="AO644:AR644"/>
    <mergeCell ref="A645:B645"/>
    <mergeCell ref="Y645:AN645"/>
    <mergeCell ref="AO645:AR645"/>
    <mergeCell ref="C647:H647"/>
    <mergeCell ref="I647:J647"/>
    <mergeCell ref="K647:Z647"/>
    <mergeCell ref="AA647:AB647"/>
    <mergeCell ref="AC647:AR647"/>
    <mergeCell ref="C639:E639"/>
    <mergeCell ref="F639:R639"/>
    <mergeCell ref="S639:U639"/>
    <mergeCell ref="V639:X639"/>
    <mergeCell ref="Y639:AD639"/>
    <mergeCell ref="AE639:AG639"/>
    <mergeCell ref="AH639:AJ639"/>
    <mergeCell ref="AK639:AN639"/>
    <mergeCell ref="AO639:AR639"/>
    <mergeCell ref="C640:E640"/>
    <mergeCell ref="F640:R640"/>
    <mergeCell ref="S640:U640"/>
    <mergeCell ref="V640:X640"/>
    <mergeCell ref="Y640:AD640"/>
    <mergeCell ref="AE640:AG640"/>
    <mergeCell ref="AH640:AJ640"/>
    <mergeCell ref="AK640:AN640"/>
    <mergeCell ref="AO640:AR640"/>
    <mergeCell ref="C637:E637"/>
    <mergeCell ref="F637:R637"/>
    <mergeCell ref="S637:U637"/>
    <mergeCell ref="V637:X637"/>
    <mergeCell ref="Y637:AD637"/>
    <mergeCell ref="AE637:AG637"/>
    <mergeCell ref="AH637:AJ637"/>
    <mergeCell ref="AK637:AN637"/>
    <mergeCell ref="AO637:AR637"/>
    <mergeCell ref="C638:E638"/>
    <mergeCell ref="F638:R638"/>
    <mergeCell ref="S638:U638"/>
    <mergeCell ref="V638:X638"/>
    <mergeCell ref="Y638:AD638"/>
    <mergeCell ref="AE638:AG638"/>
    <mergeCell ref="AH638:AJ638"/>
    <mergeCell ref="AK638:AN638"/>
    <mergeCell ref="AO638:AR638"/>
    <mergeCell ref="C635:E635"/>
    <mergeCell ref="F635:R635"/>
    <mergeCell ref="S635:U635"/>
    <mergeCell ref="V635:X635"/>
    <mergeCell ref="Y635:AD635"/>
    <mergeCell ref="AE635:AG635"/>
    <mergeCell ref="AH635:AJ635"/>
    <mergeCell ref="AK635:AN635"/>
    <mergeCell ref="AO635:AR635"/>
    <mergeCell ref="C636:E636"/>
    <mergeCell ref="F636:R636"/>
    <mergeCell ref="S636:U636"/>
    <mergeCell ref="V636:X636"/>
    <mergeCell ref="Y636:AD636"/>
    <mergeCell ref="AE636:AG636"/>
    <mergeCell ref="AH636:AJ636"/>
    <mergeCell ref="AK636:AN636"/>
    <mergeCell ref="AO636:AR636"/>
    <mergeCell ref="C633:E633"/>
    <mergeCell ref="F633:R633"/>
    <mergeCell ref="S633:U633"/>
    <mergeCell ref="V633:X633"/>
    <mergeCell ref="Y633:AD633"/>
    <mergeCell ref="AE633:AG633"/>
    <mergeCell ref="AH633:AJ633"/>
    <mergeCell ref="AK633:AN633"/>
    <mergeCell ref="AO633:AR633"/>
    <mergeCell ref="C634:E634"/>
    <mergeCell ref="F634:R634"/>
    <mergeCell ref="S634:U634"/>
    <mergeCell ref="V634:X634"/>
    <mergeCell ref="Y634:AD634"/>
    <mergeCell ref="AE634:AG634"/>
    <mergeCell ref="AH634:AJ634"/>
    <mergeCell ref="AK634:AN634"/>
    <mergeCell ref="AO634:AR634"/>
    <mergeCell ref="C627:E627"/>
    <mergeCell ref="F627:AB627"/>
    <mergeCell ref="AC627:AF627"/>
    <mergeCell ref="AG627:AJ627"/>
    <mergeCell ref="AK627:AN627"/>
    <mergeCell ref="AO627:AR627"/>
    <mergeCell ref="C628:E628"/>
    <mergeCell ref="F628:AB628"/>
    <mergeCell ref="AC628:AF628"/>
    <mergeCell ref="AG628:AJ628"/>
    <mergeCell ref="AK628:AN628"/>
    <mergeCell ref="AO628:AR628"/>
    <mergeCell ref="C629:X629"/>
    <mergeCell ref="Y629:AN629"/>
    <mergeCell ref="AO629:AR629"/>
    <mergeCell ref="C631:E632"/>
    <mergeCell ref="F631:R632"/>
    <mergeCell ref="S631:U632"/>
    <mergeCell ref="V631:X632"/>
    <mergeCell ref="Y631:AD632"/>
    <mergeCell ref="AE631:AG632"/>
    <mergeCell ref="AH631:AJ632"/>
    <mergeCell ref="AK631:AN632"/>
    <mergeCell ref="AO631:AR632"/>
    <mergeCell ref="C624:E624"/>
    <mergeCell ref="F624:AB624"/>
    <mergeCell ref="AC624:AF624"/>
    <mergeCell ref="AG624:AJ624"/>
    <mergeCell ref="AK624:AN624"/>
    <mergeCell ref="AO624:AR624"/>
    <mergeCell ref="C625:E625"/>
    <mergeCell ref="F625:AB625"/>
    <mergeCell ref="AC625:AF625"/>
    <mergeCell ref="AG625:AJ625"/>
    <mergeCell ref="AK625:AN625"/>
    <mergeCell ref="AO625:AR625"/>
    <mergeCell ref="C626:E626"/>
    <mergeCell ref="F626:AB626"/>
    <mergeCell ref="AC626:AF626"/>
    <mergeCell ref="AG626:AJ626"/>
    <mergeCell ref="AK626:AN626"/>
    <mergeCell ref="AO626:AR626"/>
    <mergeCell ref="C621:E621"/>
    <mergeCell ref="F621:AB621"/>
    <mergeCell ref="AC621:AF621"/>
    <mergeCell ref="AG621:AJ621"/>
    <mergeCell ref="AK621:AN621"/>
    <mergeCell ref="AO621:AR621"/>
    <mergeCell ref="C622:E622"/>
    <mergeCell ref="F622:AB622"/>
    <mergeCell ref="AC622:AF622"/>
    <mergeCell ref="AG622:AJ622"/>
    <mergeCell ref="AK622:AN622"/>
    <mergeCell ref="AO622:AR622"/>
    <mergeCell ref="C623:E623"/>
    <mergeCell ref="F623:AB623"/>
    <mergeCell ref="AC623:AF623"/>
    <mergeCell ref="AG623:AJ623"/>
    <mergeCell ref="AK623:AN623"/>
    <mergeCell ref="AO623:AR623"/>
    <mergeCell ref="C614:X614"/>
    <mergeCell ref="Y614:AN614"/>
    <mergeCell ref="AO614:AR614"/>
    <mergeCell ref="C616:X616"/>
    <mergeCell ref="Y616:AN616"/>
    <mergeCell ref="AO616:AR616"/>
    <mergeCell ref="C617:P617"/>
    <mergeCell ref="Q617:U617"/>
    <mergeCell ref="V617:X617"/>
    <mergeCell ref="Y617:AN617"/>
    <mergeCell ref="AO617:AR617"/>
    <mergeCell ref="C619:E620"/>
    <mergeCell ref="F619:AB620"/>
    <mergeCell ref="AC619:AF620"/>
    <mergeCell ref="AG619:AJ620"/>
    <mergeCell ref="AK619:AN620"/>
    <mergeCell ref="AO619:AR620"/>
    <mergeCell ref="C611:E611"/>
    <mergeCell ref="F611:AB611"/>
    <mergeCell ref="AC611:AF611"/>
    <mergeCell ref="AG611:AJ611"/>
    <mergeCell ref="AK611:AN611"/>
    <mergeCell ref="AO611:AR611"/>
    <mergeCell ref="C612:E612"/>
    <mergeCell ref="F612:AB612"/>
    <mergeCell ref="AC612:AF612"/>
    <mergeCell ref="AG612:AJ612"/>
    <mergeCell ref="AK612:AN612"/>
    <mergeCell ref="AO612:AR612"/>
    <mergeCell ref="C613:X613"/>
    <mergeCell ref="Y613:AF613"/>
    <mergeCell ref="AG613:AJ613"/>
    <mergeCell ref="AK613:AN613"/>
    <mergeCell ref="AO613:AR613"/>
    <mergeCell ref="C608:E608"/>
    <mergeCell ref="F608:AB608"/>
    <mergeCell ref="AC608:AF608"/>
    <mergeCell ref="AG608:AJ608"/>
    <mergeCell ref="AK608:AN608"/>
    <mergeCell ref="AO608:AR608"/>
    <mergeCell ref="C609:E609"/>
    <mergeCell ref="F609:AB609"/>
    <mergeCell ref="AC609:AF609"/>
    <mergeCell ref="AG609:AJ609"/>
    <mergeCell ref="AK609:AN609"/>
    <mergeCell ref="AO609:AR609"/>
    <mergeCell ref="C610:E610"/>
    <mergeCell ref="F610:AB610"/>
    <mergeCell ref="AC610:AF610"/>
    <mergeCell ref="AG610:AJ610"/>
    <mergeCell ref="AK610:AN610"/>
    <mergeCell ref="AO610:AR610"/>
    <mergeCell ref="C605:E605"/>
    <mergeCell ref="F605:AB605"/>
    <mergeCell ref="AC605:AF605"/>
    <mergeCell ref="AG605:AJ605"/>
    <mergeCell ref="AK605:AN605"/>
    <mergeCell ref="AO605:AR605"/>
    <mergeCell ref="C606:E606"/>
    <mergeCell ref="F606:AB606"/>
    <mergeCell ref="AC606:AF606"/>
    <mergeCell ref="AG606:AJ606"/>
    <mergeCell ref="AK606:AN606"/>
    <mergeCell ref="AO606:AR606"/>
    <mergeCell ref="C607:E607"/>
    <mergeCell ref="F607:AB607"/>
    <mergeCell ref="AC607:AF607"/>
    <mergeCell ref="AG607:AJ607"/>
    <mergeCell ref="AK607:AN607"/>
    <mergeCell ref="AO607:AR607"/>
    <mergeCell ref="C600:E600"/>
    <mergeCell ref="F600:U600"/>
    <mergeCell ref="V600:X600"/>
    <mergeCell ref="Y600:AB600"/>
    <mergeCell ref="AC600:AF600"/>
    <mergeCell ref="AG600:AJ600"/>
    <mergeCell ref="AK600:AN600"/>
    <mergeCell ref="AO600:AR600"/>
    <mergeCell ref="C601:X601"/>
    <mergeCell ref="Y601:AN601"/>
    <mergeCell ref="AO601:AR601"/>
    <mergeCell ref="C603:E604"/>
    <mergeCell ref="F603:AB604"/>
    <mergeCell ref="AC603:AF604"/>
    <mergeCell ref="AG603:AJ604"/>
    <mergeCell ref="AK603:AN604"/>
    <mergeCell ref="AO603:AR604"/>
    <mergeCell ref="C597:E597"/>
    <mergeCell ref="F597:U597"/>
    <mergeCell ref="V597:X597"/>
    <mergeCell ref="Y597:AB597"/>
    <mergeCell ref="AC597:AF597"/>
    <mergeCell ref="AG597:AJ597"/>
    <mergeCell ref="AK597:AN597"/>
    <mergeCell ref="AO597:AR597"/>
    <mergeCell ref="C598:E598"/>
    <mergeCell ref="F598:U598"/>
    <mergeCell ref="V598:X598"/>
    <mergeCell ref="Y598:AB598"/>
    <mergeCell ref="AC598:AF598"/>
    <mergeCell ref="AG598:AJ598"/>
    <mergeCell ref="AK598:AN598"/>
    <mergeCell ref="AO598:AR598"/>
    <mergeCell ref="C599:E599"/>
    <mergeCell ref="F599:U599"/>
    <mergeCell ref="V599:X599"/>
    <mergeCell ref="Y599:AB599"/>
    <mergeCell ref="AC599:AF599"/>
    <mergeCell ref="AG599:AJ599"/>
    <mergeCell ref="AK599:AN599"/>
    <mergeCell ref="AO599:AR599"/>
    <mergeCell ref="AC594:AF594"/>
    <mergeCell ref="AG594:AJ594"/>
    <mergeCell ref="AK594:AN594"/>
    <mergeCell ref="AO594:AR594"/>
    <mergeCell ref="C595:E595"/>
    <mergeCell ref="F595:U595"/>
    <mergeCell ref="V595:X595"/>
    <mergeCell ref="Y595:AB595"/>
    <mergeCell ref="AC595:AF595"/>
    <mergeCell ref="AG595:AJ595"/>
    <mergeCell ref="AK595:AN595"/>
    <mergeCell ref="AO595:AR595"/>
    <mergeCell ref="C596:E596"/>
    <mergeCell ref="F596:U596"/>
    <mergeCell ref="V596:X596"/>
    <mergeCell ref="Y596:AB596"/>
    <mergeCell ref="AC596:AF596"/>
    <mergeCell ref="AG596:AJ596"/>
    <mergeCell ref="AK596:AN596"/>
    <mergeCell ref="AO596:AR596"/>
    <mergeCell ref="C214:H214"/>
    <mergeCell ref="I214:J214"/>
    <mergeCell ref="K214:Z214"/>
    <mergeCell ref="AA214:AB214"/>
    <mergeCell ref="AC214:AR214"/>
    <mergeCell ref="C216:F216"/>
    <mergeCell ref="G216:AA216"/>
    <mergeCell ref="AB216:AI219"/>
    <mergeCell ref="AJ216:AR219"/>
    <mergeCell ref="C217:F217"/>
    <mergeCell ref="G217:AA217"/>
    <mergeCell ref="C218:F218"/>
    <mergeCell ref="G218:AA218"/>
    <mergeCell ref="C219:AA219"/>
    <mergeCell ref="C586:AR587"/>
    <mergeCell ref="C588:F589"/>
    <mergeCell ref="G588:J589"/>
    <mergeCell ref="K588:N589"/>
    <mergeCell ref="O588:AK589"/>
    <mergeCell ref="AL588:AO589"/>
    <mergeCell ref="AP588:AR589"/>
    <mergeCell ref="C579:H579"/>
    <mergeCell ref="I579:J579"/>
    <mergeCell ref="K579:Z579"/>
    <mergeCell ref="AA579:AB579"/>
    <mergeCell ref="AC579:AR579"/>
    <mergeCell ref="C581:F581"/>
    <mergeCell ref="G581:AA581"/>
    <mergeCell ref="AB581:AI584"/>
    <mergeCell ref="AJ581:AR584"/>
    <mergeCell ref="C582:F582"/>
    <mergeCell ref="G582:AA582"/>
    <mergeCell ref="C210:H210"/>
    <mergeCell ref="I210:J210"/>
    <mergeCell ref="K210:Z210"/>
    <mergeCell ref="AA210:AB210"/>
    <mergeCell ref="AC210:AR210"/>
    <mergeCell ref="C211:H211"/>
    <mergeCell ref="I211:J211"/>
    <mergeCell ref="K211:Z211"/>
    <mergeCell ref="AA211:AB211"/>
    <mergeCell ref="AC211:AR211"/>
    <mergeCell ref="C212:H212"/>
    <mergeCell ref="I212:J212"/>
    <mergeCell ref="K212:Z212"/>
    <mergeCell ref="AA212:AB212"/>
    <mergeCell ref="AC212:AR212"/>
    <mergeCell ref="C213:H213"/>
    <mergeCell ref="I213:J213"/>
    <mergeCell ref="K213:Z213"/>
    <mergeCell ref="AA213:AB213"/>
    <mergeCell ref="AC213:AR213"/>
    <mergeCell ref="C203:X203"/>
    <mergeCell ref="Y203:AN203"/>
    <mergeCell ref="AO203:AR203"/>
    <mergeCell ref="C205:X207"/>
    <mergeCell ref="Y205:AN205"/>
    <mergeCell ref="AO205:AR205"/>
    <mergeCell ref="Y206:AG206"/>
    <mergeCell ref="AH206:AN206"/>
    <mergeCell ref="AO206:AR206"/>
    <mergeCell ref="A207:B207"/>
    <mergeCell ref="Y207:AN207"/>
    <mergeCell ref="AO207:AR207"/>
    <mergeCell ref="C209:H209"/>
    <mergeCell ref="I209:J209"/>
    <mergeCell ref="K209:Z209"/>
    <mergeCell ref="AA209:AB209"/>
    <mergeCell ref="AC209:AR209"/>
    <mergeCell ref="C201:E201"/>
    <mergeCell ref="F201:R201"/>
    <mergeCell ref="S201:U201"/>
    <mergeCell ref="V201:X201"/>
    <mergeCell ref="Y201:AD201"/>
    <mergeCell ref="AE201:AG201"/>
    <mergeCell ref="AH201:AJ201"/>
    <mergeCell ref="AK201:AN201"/>
    <mergeCell ref="AO201:AR201"/>
    <mergeCell ref="C202:E202"/>
    <mergeCell ref="F202:R202"/>
    <mergeCell ref="S202:U202"/>
    <mergeCell ref="V202:X202"/>
    <mergeCell ref="Y202:AD202"/>
    <mergeCell ref="AE202:AG202"/>
    <mergeCell ref="AH202:AJ202"/>
    <mergeCell ref="AK202:AN202"/>
    <mergeCell ref="AO202:AR202"/>
    <mergeCell ref="C199:E199"/>
    <mergeCell ref="F199:R199"/>
    <mergeCell ref="S199:U199"/>
    <mergeCell ref="V199:X199"/>
    <mergeCell ref="Y199:AD199"/>
    <mergeCell ref="AE199:AG199"/>
    <mergeCell ref="AH199:AJ199"/>
    <mergeCell ref="AK199:AN199"/>
    <mergeCell ref="AO199:AR199"/>
    <mergeCell ref="C200:E200"/>
    <mergeCell ref="F200:R200"/>
    <mergeCell ref="S200:U200"/>
    <mergeCell ref="V200:X200"/>
    <mergeCell ref="Y200:AD200"/>
    <mergeCell ref="AE200:AG200"/>
    <mergeCell ref="AH200:AJ200"/>
    <mergeCell ref="AK200:AN200"/>
    <mergeCell ref="AO200:AR200"/>
    <mergeCell ref="C197:E197"/>
    <mergeCell ref="F197:R197"/>
    <mergeCell ref="S197:U197"/>
    <mergeCell ref="V197:X197"/>
    <mergeCell ref="Y197:AD197"/>
    <mergeCell ref="AE197:AG197"/>
    <mergeCell ref="AH197:AJ197"/>
    <mergeCell ref="AK197:AN197"/>
    <mergeCell ref="AO197:AR197"/>
    <mergeCell ref="C198:E198"/>
    <mergeCell ref="F198:R198"/>
    <mergeCell ref="S198:U198"/>
    <mergeCell ref="V198:X198"/>
    <mergeCell ref="Y198:AD198"/>
    <mergeCell ref="AE198:AG198"/>
    <mergeCell ref="AH198:AJ198"/>
    <mergeCell ref="AK198:AN198"/>
    <mergeCell ref="AO198:AR198"/>
    <mergeCell ref="C195:E195"/>
    <mergeCell ref="F195:R195"/>
    <mergeCell ref="S195:U195"/>
    <mergeCell ref="V195:X195"/>
    <mergeCell ref="Y195:AD195"/>
    <mergeCell ref="AE195:AG195"/>
    <mergeCell ref="AH195:AJ195"/>
    <mergeCell ref="AK195:AN195"/>
    <mergeCell ref="AO195:AR195"/>
    <mergeCell ref="C196:E196"/>
    <mergeCell ref="F196:R196"/>
    <mergeCell ref="S196:U196"/>
    <mergeCell ref="V196:X196"/>
    <mergeCell ref="Y196:AD196"/>
    <mergeCell ref="AE196:AG196"/>
    <mergeCell ref="AH196:AJ196"/>
    <mergeCell ref="AK196:AN196"/>
    <mergeCell ref="AO196:AR196"/>
    <mergeCell ref="C189:E189"/>
    <mergeCell ref="F189:AB189"/>
    <mergeCell ref="AC189:AF189"/>
    <mergeCell ref="AG189:AJ189"/>
    <mergeCell ref="AK189:AN189"/>
    <mergeCell ref="AO189:AR189"/>
    <mergeCell ref="C190:E190"/>
    <mergeCell ref="F190:AB190"/>
    <mergeCell ref="AC190:AF190"/>
    <mergeCell ref="AG190:AJ190"/>
    <mergeCell ref="AK190:AN190"/>
    <mergeCell ref="AO190:AR190"/>
    <mergeCell ref="C191:X191"/>
    <mergeCell ref="Y191:AN191"/>
    <mergeCell ref="AO191:AR191"/>
    <mergeCell ref="C193:E194"/>
    <mergeCell ref="F193:R194"/>
    <mergeCell ref="S193:U194"/>
    <mergeCell ref="V193:X194"/>
    <mergeCell ref="Y193:AD194"/>
    <mergeCell ref="AE193:AG194"/>
    <mergeCell ref="AH193:AJ194"/>
    <mergeCell ref="AK193:AN194"/>
    <mergeCell ref="AO193:AR194"/>
    <mergeCell ref="C186:E186"/>
    <mergeCell ref="F186:AB186"/>
    <mergeCell ref="AC186:AF186"/>
    <mergeCell ref="AG186:AJ186"/>
    <mergeCell ref="AK186:AN186"/>
    <mergeCell ref="AO186:AR186"/>
    <mergeCell ref="C187:E187"/>
    <mergeCell ref="F187:AB187"/>
    <mergeCell ref="AC187:AF187"/>
    <mergeCell ref="AG187:AJ187"/>
    <mergeCell ref="AK187:AN187"/>
    <mergeCell ref="AO187:AR187"/>
    <mergeCell ref="C188:E188"/>
    <mergeCell ref="F188:AB188"/>
    <mergeCell ref="AC188:AF188"/>
    <mergeCell ref="AG188:AJ188"/>
    <mergeCell ref="AK188:AN188"/>
    <mergeCell ref="AO188:AR188"/>
    <mergeCell ref="C183:E183"/>
    <mergeCell ref="F183:AB183"/>
    <mergeCell ref="AC183:AF183"/>
    <mergeCell ref="AG183:AJ183"/>
    <mergeCell ref="AK183:AN183"/>
    <mergeCell ref="AO183:AR183"/>
    <mergeCell ref="C184:E184"/>
    <mergeCell ref="F184:AB184"/>
    <mergeCell ref="AC184:AF184"/>
    <mergeCell ref="AG184:AJ184"/>
    <mergeCell ref="AK184:AN184"/>
    <mergeCell ref="AO184:AR184"/>
    <mergeCell ref="C185:E185"/>
    <mergeCell ref="F185:AB185"/>
    <mergeCell ref="AC185:AF185"/>
    <mergeCell ref="AG185:AJ185"/>
    <mergeCell ref="AK185:AN185"/>
    <mergeCell ref="AO185:AR185"/>
    <mergeCell ref="C176:X176"/>
    <mergeCell ref="Y176:AN176"/>
    <mergeCell ref="AO176:AR176"/>
    <mergeCell ref="C178:X178"/>
    <mergeCell ref="Y178:AN178"/>
    <mergeCell ref="AO178:AR178"/>
    <mergeCell ref="C179:P179"/>
    <mergeCell ref="Q179:U179"/>
    <mergeCell ref="V179:X179"/>
    <mergeCell ref="Y179:AN179"/>
    <mergeCell ref="AO179:AR179"/>
    <mergeCell ref="C181:E182"/>
    <mergeCell ref="F181:AB182"/>
    <mergeCell ref="AC181:AF182"/>
    <mergeCell ref="AG181:AJ182"/>
    <mergeCell ref="AK181:AN182"/>
    <mergeCell ref="AO181:AR182"/>
    <mergeCell ref="C173:E173"/>
    <mergeCell ref="F173:AB173"/>
    <mergeCell ref="AC173:AF173"/>
    <mergeCell ref="AG173:AJ173"/>
    <mergeCell ref="AK173:AN173"/>
    <mergeCell ref="AO173:AR173"/>
    <mergeCell ref="C174:E174"/>
    <mergeCell ref="F174:AB174"/>
    <mergeCell ref="AC174:AF174"/>
    <mergeCell ref="AG174:AJ174"/>
    <mergeCell ref="AK174:AN174"/>
    <mergeCell ref="AO174:AR174"/>
    <mergeCell ref="C175:X175"/>
    <mergeCell ref="Y175:AF175"/>
    <mergeCell ref="AG175:AJ175"/>
    <mergeCell ref="AK175:AN175"/>
    <mergeCell ref="AO175:AR175"/>
    <mergeCell ref="C170:E170"/>
    <mergeCell ref="F170:AB170"/>
    <mergeCell ref="AC170:AF170"/>
    <mergeCell ref="AG170:AJ170"/>
    <mergeCell ref="AK170:AN170"/>
    <mergeCell ref="AO170:AR170"/>
    <mergeCell ref="C171:E171"/>
    <mergeCell ref="F171:AB171"/>
    <mergeCell ref="AC171:AF171"/>
    <mergeCell ref="AG171:AJ171"/>
    <mergeCell ref="AK171:AN171"/>
    <mergeCell ref="AO171:AR171"/>
    <mergeCell ref="C172:E172"/>
    <mergeCell ref="F172:AB172"/>
    <mergeCell ref="AC172:AF172"/>
    <mergeCell ref="AG172:AJ172"/>
    <mergeCell ref="AK172:AN172"/>
    <mergeCell ref="AO172:AR172"/>
    <mergeCell ref="C167:E167"/>
    <mergeCell ref="F167:AB167"/>
    <mergeCell ref="AC167:AF167"/>
    <mergeCell ref="AG167:AJ167"/>
    <mergeCell ref="AK167:AN167"/>
    <mergeCell ref="AO167:AR167"/>
    <mergeCell ref="C168:E168"/>
    <mergeCell ref="F168:AB168"/>
    <mergeCell ref="AC168:AF168"/>
    <mergeCell ref="AG168:AJ168"/>
    <mergeCell ref="AK168:AN168"/>
    <mergeCell ref="AO168:AR168"/>
    <mergeCell ref="C169:E169"/>
    <mergeCell ref="F169:AB169"/>
    <mergeCell ref="AC169:AF169"/>
    <mergeCell ref="AG169:AJ169"/>
    <mergeCell ref="AK169:AN169"/>
    <mergeCell ref="AO169:AR169"/>
    <mergeCell ref="C162:E162"/>
    <mergeCell ref="F162:U162"/>
    <mergeCell ref="V162:X162"/>
    <mergeCell ref="Y162:AB162"/>
    <mergeCell ref="AC162:AF162"/>
    <mergeCell ref="AG162:AJ162"/>
    <mergeCell ref="AK162:AN162"/>
    <mergeCell ref="AO162:AR162"/>
    <mergeCell ref="C163:X163"/>
    <mergeCell ref="Y163:AN163"/>
    <mergeCell ref="AO163:AR163"/>
    <mergeCell ref="C165:E166"/>
    <mergeCell ref="F165:AB166"/>
    <mergeCell ref="AC165:AF166"/>
    <mergeCell ref="AG165:AJ166"/>
    <mergeCell ref="AK165:AN166"/>
    <mergeCell ref="AO165:AR166"/>
    <mergeCell ref="C159:E159"/>
    <mergeCell ref="F159:U159"/>
    <mergeCell ref="V159:X159"/>
    <mergeCell ref="Y159:AB159"/>
    <mergeCell ref="AC159:AF159"/>
    <mergeCell ref="AG159:AJ159"/>
    <mergeCell ref="AK159:AN159"/>
    <mergeCell ref="AO159:AR159"/>
    <mergeCell ref="C160:E160"/>
    <mergeCell ref="F160:U160"/>
    <mergeCell ref="V160:X160"/>
    <mergeCell ref="Y160:AB160"/>
    <mergeCell ref="AC160:AF160"/>
    <mergeCell ref="AG160:AJ160"/>
    <mergeCell ref="AK160:AN160"/>
    <mergeCell ref="AO160:AR160"/>
    <mergeCell ref="C161:E161"/>
    <mergeCell ref="F161:U161"/>
    <mergeCell ref="V161:X161"/>
    <mergeCell ref="Y161:AB161"/>
    <mergeCell ref="AC161:AF161"/>
    <mergeCell ref="AG161:AJ161"/>
    <mergeCell ref="AK161:AN161"/>
    <mergeCell ref="AO161:AR161"/>
    <mergeCell ref="AC156:AF156"/>
    <mergeCell ref="AG156:AJ156"/>
    <mergeCell ref="AK156:AN156"/>
    <mergeCell ref="AO156:AR156"/>
    <mergeCell ref="C157:E157"/>
    <mergeCell ref="F157:U157"/>
    <mergeCell ref="V157:X157"/>
    <mergeCell ref="Y157:AB157"/>
    <mergeCell ref="AC157:AF157"/>
    <mergeCell ref="AG157:AJ157"/>
    <mergeCell ref="AK157:AN157"/>
    <mergeCell ref="AO157:AR157"/>
    <mergeCell ref="C158:E158"/>
    <mergeCell ref="F158:U158"/>
    <mergeCell ref="V158:X158"/>
    <mergeCell ref="Y158:AB158"/>
    <mergeCell ref="AC158:AF158"/>
    <mergeCell ref="AG158:AJ158"/>
    <mergeCell ref="AK158:AN158"/>
    <mergeCell ref="AO158:AR158"/>
    <mergeCell ref="C725:H725"/>
    <mergeCell ref="I725:J725"/>
    <mergeCell ref="K725:Z725"/>
    <mergeCell ref="AA725:AB725"/>
    <mergeCell ref="AC725:AR725"/>
    <mergeCell ref="C727:F727"/>
    <mergeCell ref="G727:AA727"/>
    <mergeCell ref="AB727:AI730"/>
    <mergeCell ref="AJ727:AR730"/>
    <mergeCell ref="C728:F728"/>
    <mergeCell ref="G728:AA728"/>
    <mergeCell ref="C729:F729"/>
    <mergeCell ref="G729:AA729"/>
    <mergeCell ref="C730:AA730"/>
    <mergeCell ref="C148:AR149"/>
    <mergeCell ref="C150:F151"/>
    <mergeCell ref="G150:J151"/>
    <mergeCell ref="K150:N151"/>
    <mergeCell ref="O150:AK151"/>
    <mergeCell ref="AL150:AO151"/>
    <mergeCell ref="AP150:AR151"/>
    <mergeCell ref="C153:E154"/>
    <mergeCell ref="F153:U154"/>
    <mergeCell ref="V153:X154"/>
    <mergeCell ref="Y153:AF153"/>
    <mergeCell ref="AG153:AN153"/>
    <mergeCell ref="AO153:AR154"/>
    <mergeCell ref="Y154:AB154"/>
    <mergeCell ref="AC154:AF154"/>
    <mergeCell ref="AG154:AJ154"/>
    <mergeCell ref="AK154:AN154"/>
    <mergeCell ref="C155:E155"/>
    <mergeCell ref="C721:H721"/>
    <mergeCell ref="I721:J721"/>
    <mergeCell ref="K721:Z721"/>
    <mergeCell ref="AA721:AB721"/>
    <mergeCell ref="AC721:AR721"/>
    <mergeCell ref="C722:H722"/>
    <mergeCell ref="I722:J722"/>
    <mergeCell ref="K722:Z722"/>
    <mergeCell ref="AA722:AB722"/>
    <mergeCell ref="AC722:AR722"/>
    <mergeCell ref="AC723:AR723"/>
    <mergeCell ref="C724:H724"/>
    <mergeCell ref="I724:J724"/>
    <mergeCell ref="K724:Z724"/>
    <mergeCell ref="AA724:AB724"/>
    <mergeCell ref="AC724:AR724"/>
    <mergeCell ref="C723:H723"/>
    <mergeCell ref="I723:J723"/>
    <mergeCell ref="K723:Z723"/>
    <mergeCell ref="AA723:AB723"/>
    <mergeCell ref="C714:X714"/>
    <mergeCell ref="Y714:AN714"/>
    <mergeCell ref="AO714:AR714"/>
    <mergeCell ref="C716:X718"/>
    <mergeCell ref="Y716:AN716"/>
    <mergeCell ref="AO716:AR716"/>
    <mergeCell ref="Y717:AG717"/>
    <mergeCell ref="AH717:AN717"/>
    <mergeCell ref="AO717:AR717"/>
    <mergeCell ref="A718:B718"/>
    <mergeCell ref="Y718:AN718"/>
    <mergeCell ref="AO718:AR718"/>
    <mergeCell ref="C720:H720"/>
    <mergeCell ref="I720:J720"/>
    <mergeCell ref="K720:Z720"/>
    <mergeCell ref="AA720:AB720"/>
    <mergeCell ref="AC720:AR720"/>
    <mergeCell ref="C712:E712"/>
    <mergeCell ref="F712:R712"/>
    <mergeCell ref="S712:U712"/>
    <mergeCell ref="V712:X712"/>
    <mergeCell ref="Y712:AD712"/>
    <mergeCell ref="AE712:AG712"/>
    <mergeCell ref="AH712:AJ712"/>
    <mergeCell ref="AK712:AN712"/>
    <mergeCell ref="AO712:AR712"/>
    <mergeCell ref="C713:E713"/>
    <mergeCell ref="F713:R713"/>
    <mergeCell ref="S713:U713"/>
    <mergeCell ref="V713:X713"/>
    <mergeCell ref="Y713:AD713"/>
    <mergeCell ref="AE713:AG713"/>
    <mergeCell ref="AH713:AJ713"/>
    <mergeCell ref="AK713:AN713"/>
    <mergeCell ref="AO713:AR713"/>
    <mergeCell ref="C710:E710"/>
    <mergeCell ref="F710:R710"/>
    <mergeCell ref="S710:U710"/>
    <mergeCell ref="V710:X710"/>
    <mergeCell ref="Y710:AD710"/>
    <mergeCell ref="AE710:AG710"/>
    <mergeCell ref="AH710:AJ710"/>
    <mergeCell ref="AK710:AN710"/>
    <mergeCell ref="AO710:AR710"/>
    <mergeCell ref="C711:E711"/>
    <mergeCell ref="F711:R711"/>
    <mergeCell ref="S711:U711"/>
    <mergeCell ref="V711:X711"/>
    <mergeCell ref="Y711:AD711"/>
    <mergeCell ref="AE711:AG711"/>
    <mergeCell ref="AH711:AJ711"/>
    <mergeCell ref="AK711:AN711"/>
    <mergeCell ref="AO711:AR711"/>
    <mergeCell ref="C708:E708"/>
    <mergeCell ref="F708:R708"/>
    <mergeCell ref="S708:U708"/>
    <mergeCell ref="V708:X708"/>
    <mergeCell ref="Y708:AD708"/>
    <mergeCell ref="AE708:AG708"/>
    <mergeCell ref="AH708:AJ708"/>
    <mergeCell ref="AK708:AN708"/>
    <mergeCell ref="AO708:AR708"/>
    <mergeCell ref="C709:E709"/>
    <mergeCell ref="F709:R709"/>
    <mergeCell ref="S709:U709"/>
    <mergeCell ref="V709:X709"/>
    <mergeCell ref="Y709:AD709"/>
    <mergeCell ref="AE709:AG709"/>
    <mergeCell ref="AH709:AJ709"/>
    <mergeCell ref="AK709:AN709"/>
    <mergeCell ref="AO709:AR709"/>
    <mergeCell ref="C706:E706"/>
    <mergeCell ref="F706:R706"/>
    <mergeCell ref="S706:U706"/>
    <mergeCell ref="V706:X706"/>
    <mergeCell ref="Y706:AD706"/>
    <mergeCell ref="AE706:AG706"/>
    <mergeCell ref="AH706:AJ706"/>
    <mergeCell ref="AK706:AN706"/>
    <mergeCell ref="AO706:AR706"/>
    <mergeCell ref="C707:E707"/>
    <mergeCell ref="F707:R707"/>
    <mergeCell ref="S707:U707"/>
    <mergeCell ref="V707:X707"/>
    <mergeCell ref="Y707:AD707"/>
    <mergeCell ref="AE707:AG707"/>
    <mergeCell ref="AH707:AJ707"/>
    <mergeCell ref="AK707:AN707"/>
    <mergeCell ref="AO707:AR707"/>
    <mergeCell ref="C700:E700"/>
    <mergeCell ref="F700:AB700"/>
    <mergeCell ref="AC700:AF700"/>
    <mergeCell ref="AG700:AJ700"/>
    <mergeCell ref="AK700:AN700"/>
    <mergeCell ref="AO700:AR700"/>
    <mergeCell ref="C701:E701"/>
    <mergeCell ref="F701:AB701"/>
    <mergeCell ref="AC701:AF701"/>
    <mergeCell ref="AG701:AJ701"/>
    <mergeCell ref="AK701:AN701"/>
    <mergeCell ref="AO701:AR701"/>
    <mergeCell ref="C702:X702"/>
    <mergeCell ref="Y702:AN702"/>
    <mergeCell ref="AO702:AR702"/>
    <mergeCell ref="C704:E705"/>
    <mergeCell ref="F704:R705"/>
    <mergeCell ref="S704:U705"/>
    <mergeCell ref="V704:X705"/>
    <mergeCell ref="Y704:AD705"/>
    <mergeCell ref="AE704:AG705"/>
    <mergeCell ref="AH704:AJ705"/>
    <mergeCell ref="AK704:AN705"/>
    <mergeCell ref="AO704:AR705"/>
    <mergeCell ref="C697:E697"/>
    <mergeCell ref="F697:AB697"/>
    <mergeCell ref="AC697:AF697"/>
    <mergeCell ref="AG697:AJ697"/>
    <mergeCell ref="AK697:AN697"/>
    <mergeCell ref="AO697:AR697"/>
    <mergeCell ref="C698:E698"/>
    <mergeCell ref="F698:AB698"/>
    <mergeCell ref="AC698:AF698"/>
    <mergeCell ref="AG698:AJ698"/>
    <mergeCell ref="AK698:AN698"/>
    <mergeCell ref="AO698:AR698"/>
    <mergeCell ref="C699:E699"/>
    <mergeCell ref="F699:AB699"/>
    <mergeCell ref="AC699:AF699"/>
    <mergeCell ref="AG699:AJ699"/>
    <mergeCell ref="AK699:AN699"/>
    <mergeCell ref="AO699:AR699"/>
    <mergeCell ref="C694:E694"/>
    <mergeCell ref="F694:AB694"/>
    <mergeCell ref="AC694:AF694"/>
    <mergeCell ref="AG694:AJ694"/>
    <mergeCell ref="AK694:AN694"/>
    <mergeCell ref="AO694:AR694"/>
    <mergeCell ref="C695:E695"/>
    <mergeCell ref="F695:AB695"/>
    <mergeCell ref="AC695:AF695"/>
    <mergeCell ref="AG695:AJ695"/>
    <mergeCell ref="AK695:AN695"/>
    <mergeCell ref="AO695:AR695"/>
    <mergeCell ref="C696:E696"/>
    <mergeCell ref="F696:AB696"/>
    <mergeCell ref="AC696:AF696"/>
    <mergeCell ref="AG696:AJ696"/>
    <mergeCell ref="AK696:AN696"/>
    <mergeCell ref="AO696:AR696"/>
    <mergeCell ref="C687:X687"/>
    <mergeCell ref="Y687:AN687"/>
    <mergeCell ref="AO687:AR687"/>
    <mergeCell ref="C689:X689"/>
    <mergeCell ref="Y689:AN689"/>
    <mergeCell ref="AO689:AR689"/>
    <mergeCell ref="C690:P690"/>
    <mergeCell ref="Q690:U690"/>
    <mergeCell ref="V690:X690"/>
    <mergeCell ref="Y690:AN690"/>
    <mergeCell ref="AO690:AR690"/>
    <mergeCell ref="C692:E693"/>
    <mergeCell ref="F692:AB693"/>
    <mergeCell ref="AC692:AF693"/>
    <mergeCell ref="AG692:AJ693"/>
    <mergeCell ref="AK692:AN693"/>
    <mergeCell ref="AO692:AR693"/>
    <mergeCell ref="C684:E684"/>
    <mergeCell ref="F684:AB684"/>
    <mergeCell ref="AC684:AF684"/>
    <mergeCell ref="AG684:AJ684"/>
    <mergeCell ref="AK684:AN684"/>
    <mergeCell ref="AO684:AR684"/>
    <mergeCell ref="C685:E685"/>
    <mergeCell ref="F685:AB685"/>
    <mergeCell ref="AC685:AF685"/>
    <mergeCell ref="AG685:AJ685"/>
    <mergeCell ref="AK685:AN685"/>
    <mergeCell ref="AO685:AR685"/>
    <mergeCell ref="C686:X686"/>
    <mergeCell ref="Y686:AF686"/>
    <mergeCell ref="AG686:AJ686"/>
    <mergeCell ref="AK686:AN686"/>
    <mergeCell ref="AO686:AR686"/>
    <mergeCell ref="C681:E681"/>
    <mergeCell ref="F681:AB681"/>
    <mergeCell ref="AC681:AF681"/>
    <mergeCell ref="AG681:AJ681"/>
    <mergeCell ref="AK681:AN681"/>
    <mergeCell ref="AO681:AR681"/>
    <mergeCell ref="C682:E682"/>
    <mergeCell ref="F682:AB682"/>
    <mergeCell ref="AC682:AF682"/>
    <mergeCell ref="AG682:AJ682"/>
    <mergeCell ref="AK682:AN682"/>
    <mergeCell ref="AO682:AR682"/>
    <mergeCell ref="C683:E683"/>
    <mergeCell ref="F683:AB683"/>
    <mergeCell ref="AC683:AF683"/>
    <mergeCell ref="AG683:AJ683"/>
    <mergeCell ref="AK683:AN683"/>
    <mergeCell ref="AO683:AR683"/>
    <mergeCell ref="C678:E678"/>
    <mergeCell ref="F678:AB678"/>
    <mergeCell ref="AC678:AF678"/>
    <mergeCell ref="AG678:AJ678"/>
    <mergeCell ref="AK678:AN678"/>
    <mergeCell ref="AO678:AR678"/>
    <mergeCell ref="C679:E679"/>
    <mergeCell ref="F679:AB679"/>
    <mergeCell ref="AC679:AF679"/>
    <mergeCell ref="AG679:AJ679"/>
    <mergeCell ref="AK679:AN679"/>
    <mergeCell ref="AO679:AR679"/>
    <mergeCell ref="C680:E680"/>
    <mergeCell ref="F680:AB680"/>
    <mergeCell ref="AC680:AF680"/>
    <mergeCell ref="AG680:AJ680"/>
    <mergeCell ref="AK680:AN680"/>
    <mergeCell ref="AO680:AR680"/>
    <mergeCell ref="C673:E673"/>
    <mergeCell ref="F673:U673"/>
    <mergeCell ref="V673:X673"/>
    <mergeCell ref="Y673:AB673"/>
    <mergeCell ref="AC673:AF673"/>
    <mergeCell ref="AG673:AJ673"/>
    <mergeCell ref="AK673:AN673"/>
    <mergeCell ref="AO673:AR673"/>
    <mergeCell ref="C674:X674"/>
    <mergeCell ref="Y674:AN674"/>
    <mergeCell ref="AO674:AR674"/>
    <mergeCell ref="C676:E677"/>
    <mergeCell ref="F676:AB677"/>
    <mergeCell ref="AC676:AF677"/>
    <mergeCell ref="AG676:AJ677"/>
    <mergeCell ref="AK676:AN677"/>
    <mergeCell ref="AO676:AR677"/>
    <mergeCell ref="C670:E670"/>
    <mergeCell ref="F670:U670"/>
    <mergeCell ref="V670:X670"/>
    <mergeCell ref="Y670:AB670"/>
    <mergeCell ref="AC670:AF670"/>
    <mergeCell ref="AG670:AJ670"/>
    <mergeCell ref="AK670:AN670"/>
    <mergeCell ref="AO670:AR670"/>
    <mergeCell ref="C671:E671"/>
    <mergeCell ref="F671:U671"/>
    <mergeCell ref="V671:X671"/>
    <mergeCell ref="Y671:AB671"/>
    <mergeCell ref="AC671:AF671"/>
    <mergeCell ref="AG671:AJ671"/>
    <mergeCell ref="AK671:AN671"/>
    <mergeCell ref="AO671:AR671"/>
    <mergeCell ref="C672:E672"/>
    <mergeCell ref="F672:U672"/>
    <mergeCell ref="V672:X672"/>
    <mergeCell ref="Y672:AB672"/>
    <mergeCell ref="AC672:AF672"/>
    <mergeCell ref="AG672:AJ672"/>
    <mergeCell ref="AK672:AN672"/>
    <mergeCell ref="AO672:AR672"/>
    <mergeCell ref="C667:E667"/>
    <mergeCell ref="F667:U667"/>
    <mergeCell ref="V667:X667"/>
    <mergeCell ref="Y667:AB667"/>
    <mergeCell ref="AC667:AF667"/>
    <mergeCell ref="AG667:AJ667"/>
    <mergeCell ref="AK667:AN667"/>
    <mergeCell ref="AO667:AR667"/>
    <mergeCell ref="C668:E668"/>
    <mergeCell ref="F668:U668"/>
    <mergeCell ref="V668:X668"/>
    <mergeCell ref="Y668:AB668"/>
    <mergeCell ref="AC668:AF668"/>
    <mergeCell ref="AG668:AJ668"/>
    <mergeCell ref="AK668:AN668"/>
    <mergeCell ref="AO668:AR668"/>
    <mergeCell ref="C669:E669"/>
    <mergeCell ref="F669:U669"/>
    <mergeCell ref="V669:X669"/>
    <mergeCell ref="Y669:AB669"/>
    <mergeCell ref="AC669:AF669"/>
    <mergeCell ref="AG669:AJ669"/>
    <mergeCell ref="AK669:AN669"/>
    <mergeCell ref="AO669:AR669"/>
    <mergeCell ref="C664:E665"/>
    <mergeCell ref="F664:U665"/>
    <mergeCell ref="V664:X665"/>
    <mergeCell ref="Y664:AF664"/>
    <mergeCell ref="AG664:AN664"/>
    <mergeCell ref="AO664:AR665"/>
    <mergeCell ref="Y665:AB665"/>
    <mergeCell ref="AC665:AF665"/>
    <mergeCell ref="AG665:AJ665"/>
    <mergeCell ref="AK665:AN665"/>
    <mergeCell ref="C666:E666"/>
    <mergeCell ref="F666:U666"/>
    <mergeCell ref="V666:X666"/>
    <mergeCell ref="Y666:AB666"/>
    <mergeCell ref="AC666:AF666"/>
    <mergeCell ref="AG666:AJ666"/>
    <mergeCell ref="AK666:AN666"/>
    <mergeCell ref="AO666:AR666"/>
    <mergeCell ref="C583:F583"/>
    <mergeCell ref="G583:AA583"/>
    <mergeCell ref="C584:AA584"/>
    <mergeCell ref="C659:AR660"/>
    <mergeCell ref="C661:F662"/>
    <mergeCell ref="G661:J662"/>
    <mergeCell ref="K661:N662"/>
    <mergeCell ref="O661:AK662"/>
    <mergeCell ref="AL661:AO662"/>
    <mergeCell ref="AP661:AR662"/>
    <mergeCell ref="C591:E592"/>
    <mergeCell ref="F591:U592"/>
    <mergeCell ref="V591:X592"/>
    <mergeCell ref="Y591:AF591"/>
    <mergeCell ref="AG591:AN591"/>
    <mergeCell ref="AO591:AR592"/>
    <mergeCell ref="Y592:AB592"/>
    <mergeCell ref="AC592:AF592"/>
    <mergeCell ref="AG592:AJ592"/>
    <mergeCell ref="AK592:AN592"/>
    <mergeCell ref="C593:E593"/>
    <mergeCell ref="F593:U593"/>
    <mergeCell ref="V593:X593"/>
    <mergeCell ref="Y593:AB593"/>
    <mergeCell ref="AC593:AF593"/>
    <mergeCell ref="AG593:AJ593"/>
    <mergeCell ref="AK593:AN593"/>
    <mergeCell ref="AO593:AR593"/>
    <mergeCell ref="C594:E594"/>
    <mergeCell ref="F594:U594"/>
    <mergeCell ref="V594:X594"/>
    <mergeCell ref="Y594:AB594"/>
    <mergeCell ref="C575:H575"/>
    <mergeCell ref="I575:J575"/>
    <mergeCell ref="K575:Z575"/>
    <mergeCell ref="AA575:AB575"/>
    <mergeCell ref="AC575:AR575"/>
    <mergeCell ref="C576:H576"/>
    <mergeCell ref="I576:J576"/>
    <mergeCell ref="K576:Z576"/>
    <mergeCell ref="AA576:AB576"/>
    <mergeCell ref="AC576:AR576"/>
    <mergeCell ref="C577:H577"/>
    <mergeCell ref="I577:J577"/>
    <mergeCell ref="K577:Z577"/>
    <mergeCell ref="AA577:AB577"/>
    <mergeCell ref="AC577:AR577"/>
    <mergeCell ref="C578:H578"/>
    <mergeCell ref="I578:J578"/>
    <mergeCell ref="K578:Z578"/>
    <mergeCell ref="AA578:AB578"/>
    <mergeCell ref="AC578:AR578"/>
    <mergeCell ref="C568:X568"/>
    <mergeCell ref="Y568:AN568"/>
    <mergeCell ref="AO568:AR568"/>
    <mergeCell ref="C570:X572"/>
    <mergeCell ref="Y570:AN570"/>
    <mergeCell ref="AO570:AR570"/>
    <mergeCell ref="Y571:AG571"/>
    <mergeCell ref="AH571:AN571"/>
    <mergeCell ref="AO571:AR571"/>
    <mergeCell ref="A572:B572"/>
    <mergeCell ref="Y572:AN572"/>
    <mergeCell ref="AO572:AR572"/>
    <mergeCell ref="C574:H574"/>
    <mergeCell ref="I574:J574"/>
    <mergeCell ref="K574:Z574"/>
    <mergeCell ref="AA574:AB574"/>
    <mergeCell ref="AC574:AR574"/>
    <mergeCell ref="C566:E566"/>
    <mergeCell ref="F566:R566"/>
    <mergeCell ref="S566:U566"/>
    <mergeCell ref="V566:X566"/>
    <mergeCell ref="Y566:AD566"/>
    <mergeCell ref="AE566:AG566"/>
    <mergeCell ref="AH566:AJ566"/>
    <mergeCell ref="AK566:AN566"/>
    <mergeCell ref="AO566:AR566"/>
    <mergeCell ref="C567:E567"/>
    <mergeCell ref="F567:R567"/>
    <mergeCell ref="S567:U567"/>
    <mergeCell ref="V567:X567"/>
    <mergeCell ref="Y567:AD567"/>
    <mergeCell ref="AE567:AG567"/>
    <mergeCell ref="AH567:AJ567"/>
    <mergeCell ref="AK567:AN567"/>
    <mergeCell ref="AO567:AR567"/>
    <mergeCell ref="C564:E564"/>
    <mergeCell ref="F564:R564"/>
    <mergeCell ref="S564:U564"/>
    <mergeCell ref="V564:X564"/>
    <mergeCell ref="Y564:AD564"/>
    <mergeCell ref="AE564:AG564"/>
    <mergeCell ref="AH564:AJ564"/>
    <mergeCell ref="AK564:AN564"/>
    <mergeCell ref="AO564:AR564"/>
    <mergeCell ref="C565:E565"/>
    <mergeCell ref="F565:R565"/>
    <mergeCell ref="S565:U565"/>
    <mergeCell ref="V565:X565"/>
    <mergeCell ref="Y565:AD565"/>
    <mergeCell ref="AE565:AG565"/>
    <mergeCell ref="AH565:AJ565"/>
    <mergeCell ref="AK565:AN565"/>
    <mergeCell ref="AO565:AR565"/>
    <mergeCell ref="C562:E562"/>
    <mergeCell ref="F562:R562"/>
    <mergeCell ref="S562:U562"/>
    <mergeCell ref="V562:X562"/>
    <mergeCell ref="Y562:AD562"/>
    <mergeCell ref="AE562:AG562"/>
    <mergeCell ref="AH562:AJ562"/>
    <mergeCell ref="AK562:AN562"/>
    <mergeCell ref="AO562:AR562"/>
    <mergeCell ref="C563:E563"/>
    <mergeCell ref="F563:R563"/>
    <mergeCell ref="S563:U563"/>
    <mergeCell ref="V563:X563"/>
    <mergeCell ref="Y563:AD563"/>
    <mergeCell ref="AE563:AG563"/>
    <mergeCell ref="AH563:AJ563"/>
    <mergeCell ref="AK563:AN563"/>
    <mergeCell ref="AO563:AR563"/>
    <mergeCell ref="C560:E560"/>
    <mergeCell ref="F560:R560"/>
    <mergeCell ref="S560:U560"/>
    <mergeCell ref="V560:X560"/>
    <mergeCell ref="Y560:AD560"/>
    <mergeCell ref="AE560:AG560"/>
    <mergeCell ref="AH560:AJ560"/>
    <mergeCell ref="AK560:AN560"/>
    <mergeCell ref="AO560:AR560"/>
    <mergeCell ref="C561:E561"/>
    <mergeCell ref="F561:R561"/>
    <mergeCell ref="S561:U561"/>
    <mergeCell ref="V561:X561"/>
    <mergeCell ref="Y561:AD561"/>
    <mergeCell ref="AE561:AG561"/>
    <mergeCell ref="AH561:AJ561"/>
    <mergeCell ref="AK561:AN561"/>
    <mergeCell ref="AO561:AR561"/>
    <mergeCell ref="C554:E554"/>
    <mergeCell ref="F554:AB554"/>
    <mergeCell ref="AC554:AF554"/>
    <mergeCell ref="AG554:AJ554"/>
    <mergeCell ref="AK554:AN554"/>
    <mergeCell ref="AO554:AR554"/>
    <mergeCell ref="C555:E555"/>
    <mergeCell ref="F555:AB555"/>
    <mergeCell ref="AC555:AF555"/>
    <mergeCell ref="AG555:AJ555"/>
    <mergeCell ref="AK555:AN555"/>
    <mergeCell ref="AO555:AR555"/>
    <mergeCell ref="C556:X556"/>
    <mergeCell ref="Y556:AN556"/>
    <mergeCell ref="AO556:AR556"/>
    <mergeCell ref="C558:E559"/>
    <mergeCell ref="F558:R559"/>
    <mergeCell ref="S558:U559"/>
    <mergeCell ref="V558:X559"/>
    <mergeCell ref="Y558:AD559"/>
    <mergeCell ref="AE558:AG559"/>
    <mergeCell ref="AH558:AJ559"/>
    <mergeCell ref="AK558:AN559"/>
    <mergeCell ref="AO558:AR559"/>
    <mergeCell ref="C551:E551"/>
    <mergeCell ref="F551:AB551"/>
    <mergeCell ref="AC551:AF551"/>
    <mergeCell ref="AG551:AJ551"/>
    <mergeCell ref="AK551:AN551"/>
    <mergeCell ref="AO551:AR551"/>
    <mergeCell ref="C552:E552"/>
    <mergeCell ref="F552:AB552"/>
    <mergeCell ref="AC552:AF552"/>
    <mergeCell ref="AG552:AJ552"/>
    <mergeCell ref="AK552:AN552"/>
    <mergeCell ref="AO552:AR552"/>
    <mergeCell ref="C553:E553"/>
    <mergeCell ref="F553:AB553"/>
    <mergeCell ref="AC553:AF553"/>
    <mergeCell ref="AG553:AJ553"/>
    <mergeCell ref="AK553:AN553"/>
    <mergeCell ref="AO553:AR553"/>
    <mergeCell ref="C548:E548"/>
    <mergeCell ref="F548:AB548"/>
    <mergeCell ref="AC548:AF548"/>
    <mergeCell ref="AG548:AJ548"/>
    <mergeCell ref="AK548:AN548"/>
    <mergeCell ref="AO548:AR548"/>
    <mergeCell ref="C549:E549"/>
    <mergeCell ref="F549:AB549"/>
    <mergeCell ref="AC549:AF549"/>
    <mergeCell ref="AG549:AJ549"/>
    <mergeCell ref="AK549:AN549"/>
    <mergeCell ref="AO549:AR549"/>
    <mergeCell ref="C550:E550"/>
    <mergeCell ref="F550:AB550"/>
    <mergeCell ref="AC550:AF550"/>
    <mergeCell ref="AG550:AJ550"/>
    <mergeCell ref="AK550:AN550"/>
    <mergeCell ref="AO550:AR550"/>
    <mergeCell ref="C541:X541"/>
    <mergeCell ref="Y541:AN541"/>
    <mergeCell ref="AO541:AR541"/>
    <mergeCell ref="C543:X543"/>
    <mergeCell ref="Y543:AN543"/>
    <mergeCell ref="AO543:AR543"/>
    <mergeCell ref="C544:P544"/>
    <mergeCell ref="Q544:U544"/>
    <mergeCell ref="V544:X544"/>
    <mergeCell ref="Y544:AN544"/>
    <mergeCell ref="AO544:AR544"/>
    <mergeCell ref="C546:E547"/>
    <mergeCell ref="F546:AB547"/>
    <mergeCell ref="AC546:AF547"/>
    <mergeCell ref="AG546:AJ547"/>
    <mergeCell ref="AK546:AN547"/>
    <mergeCell ref="AO546:AR547"/>
    <mergeCell ref="C538:E538"/>
    <mergeCell ref="F538:AB538"/>
    <mergeCell ref="AC538:AF538"/>
    <mergeCell ref="AG538:AJ538"/>
    <mergeCell ref="AK538:AN538"/>
    <mergeCell ref="AO538:AR538"/>
    <mergeCell ref="C539:E539"/>
    <mergeCell ref="F539:AB539"/>
    <mergeCell ref="AC539:AF539"/>
    <mergeCell ref="AG539:AJ539"/>
    <mergeCell ref="AK539:AN539"/>
    <mergeCell ref="AO539:AR539"/>
    <mergeCell ref="C540:X540"/>
    <mergeCell ref="Y540:AF540"/>
    <mergeCell ref="AG540:AJ540"/>
    <mergeCell ref="AK540:AN540"/>
    <mergeCell ref="AO540:AR540"/>
    <mergeCell ref="C535:E535"/>
    <mergeCell ref="F535:AB535"/>
    <mergeCell ref="AC535:AF535"/>
    <mergeCell ref="AG535:AJ535"/>
    <mergeCell ref="AK535:AN535"/>
    <mergeCell ref="AO535:AR535"/>
    <mergeCell ref="C536:E536"/>
    <mergeCell ref="F536:AB536"/>
    <mergeCell ref="AC536:AF536"/>
    <mergeCell ref="AG536:AJ536"/>
    <mergeCell ref="AK536:AN536"/>
    <mergeCell ref="AO536:AR536"/>
    <mergeCell ref="C537:E537"/>
    <mergeCell ref="F537:AB537"/>
    <mergeCell ref="AC537:AF537"/>
    <mergeCell ref="AG537:AJ537"/>
    <mergeCell ref="AK537:AN537"/>
    <mergeCell ref="AO537:AR537"/>
    <mergeCell ref="C532:E532"/>
    <mergeCell ref="F532:AB532"/>
    <mergeCell ref="AC532:AF532"/>
    <mergeCell ref="AG532:AJ532"/>
    <mergeCell ref="AK532:AN532"/>
    <mergeCell ref="AO532:AR532"/>
    <mergeCell ref="C533:E533"/>
    <mergeCell ref="F533:AB533"/>
    <mergeCell ref="AC533:AF533"/>
    <mergeCell ref="AG533:AJ533"/>
    <mergeCell ref="AK533:AN533"/>
    <mergeCell ref="AO533:AR533"/>
    <mergeCell ref="C534:E534"/>
    <mergeCell ref="F534:AB534"/>
    <mergeCell ref="AC534:AF534"/>
    <mergeCell ref="AG534:AJ534"/>
    <mergeCell ref="AK534:AN534"/>
    <mergeCell ref="AO534:AR534"/>
    <mergeCell ref="C527:E527"/>
    <mergeCell ref="F527:U527"/>
    <mergeCell ref="V527:X527"/>
    <mergeCell ref="Y527:AB527"/>
    <mergeCell ref="AC527:AF527"/>
    <mergeCell ref="AG527:AJ527"/>
    <mergeCell ref="AK527:AN527"/>
    <mergeCell ref="AO527:AR527"/>
    <mergeCell ref="C528:X528"/>
    <mergeCell ref="Y528:AN528"/>
    <mergeCell ref="AO528:AR528"/>
    <mergeCell ref="C530:E531"/>
    <mergeCell ref="F530:AB531"/>
    <mergeCell ref="AC530:AF531"/>
    <mergeCell ref="AG530:AJ531"/>
    <mergeCell ref="AK530:AN531"/>
    <mergeCell ref="AO530:AR531"/>
    <mergeCell ref="C524:E524"/>
    <mergeCell ref="F524:U524"/>
    <mergeCell ref="V524:X524"/>
    <mergeCell ref="Y524:AB524"/>
    <mergeCell ref="AC524:AF524"/>
    <mergeCell ref="AG524:AJ524"/>
    <mergeCell ref="AK524:AN524"/>
    <mergeCell ref="AO524:AR524"/>
    <mergeCell ref="C525:E525"/>
    <mergeCell ref="F525:U525"/>
    <mergeCell ref="V525:X525"/>
    <mergeCell ref="Y525:AB525"/>
    <mergeCell ref="AC525:AF525"/>
    <mergeCell ref="AG525:AJ525"/>
    <mergeCell ref="AK525:AN525"/>
    <mergeCell ref="AO525:AR525"/>
    <mergeCell ref="C526:E526"/>
    <mergeCell ref="F526:U526"/>
    <mergeCell ref="V526:X526"/>
    <mergeCell ref="Y526:AB526"/>
    <mergeCell ref="AC526:AF526"/>
    <mergeCell ref="AG526:AJ526"/>
    <mergeCell ref="AK526:AN526"/>
    <mergeCell ref="AO526:AR526"/>
    <mergeCell ref="C521:E521"/>
    <mergeCell ref="F521:U521"/>
    <mergeCell ref="V521:X521"/>
    <mergeCell ref="Y521:AB521"/>
    <mergeCell ref="AC521:AF521"/>
    <mergeCell ref="AG521:AJ521"/>
    <mergeCell ref="AK521:AN521"/>
    <mergeCell ref="AO521:AR521"/>
    <mergeCell ref="C522:E522"/>
    <mergeCell ref="F522:U522"/>
    <mergeCell ref="V522:X522"/>
    <mergeCell ref="Y522:AB522"/>
    <mergeCell ref="AC522:AF522"/>
    <mergeCell ref="AG522:AJ522"/>
    <mergeCell ref="AK522:AN522"/>
    <mergeCell ref="AO522:AR522"/>
    <mergeCell ref="C523:E523"/>
    <mergeCell ref="F523:U523"/>
    <mergeCell ref="V523:X523"/>
    <mergeCell ref="Y523:AB523"/>
    <mergeCell ref="AC523:AF523"/>
    <mergeCell ref="AG523:AJ523"/>
    <mergeCell ref="AK523:AN523"/>
    <mergeCell ref="AO523:AR523"/>
    <mergeCell ref="C518:E519"/>
    <mergeCell ref="F518:U519"/>
    <mergeCell ref="V518:X519"/>
    <mergeCell ref="Y518:AF518"/>
    <mergeCell ref="AG518:AN518"/>
    <mergeCell ref="AO518:AR519"/>
    <mergeCell ref="Y519:AB519"/>
    <mergeCell ref="AC519:AF519"/>
    <mergeCell ref="AG519:AJ519"/>
    <mergeCell ref="AK519:AN519"/>
    <mergeCell ref="C520:E520"/>
    <mergeCell ref="F520:U520"/>
    <mergeCell ref="V520:X520"/>
    <mergeCell ref="Y520:AB520"/>
    <mergeCell ref="AC520:AF520"/>
    <mergeCell ref="AG520:AJ520"/>
    <mergeCell ref="AK520:AN520"/>
    <mergeCell ref="AO520:AR520"/>
    <mergeCell ref="C506:H506"/>
    <mergeCell ref="I506:J506"/>
    <mergeCell ref="K506:Z506"/>
    <mergeCell ref="AA506:AB506"/>
    <mergeCell ref="AC506:AR506"/>
    <mergeCell ref="C508:F508"/>
    <mergeCell ref="G508:AA508"/>
    <mergeCell ref="AB508:AI511"/>
    <mergeCell ref="AJ508:AR511"/>
    <mergeCell ref="C509:F509"/>
    <mergeCell ref="G509:AA509"/>
    <mergeCell ref="C510:F510"/>
    <mergeCell ref="G510:AA510"/>
    <mergeCell ref="C511:AA511"/>
    <mergeCell ref="C513:AR514"/>
    <mergeCell ref="C515:F516"/>
    <mergeCell ref="G515:J516"/>
    <mergeCell ref="K515:N516"/>
    <mergeCell ref="O515:AK516"/>
    <mergeCell ref="AL515:AO516"/>
    <mergeCell ref="AP515:AR516"/>
    <mergeCell ref="C502:H502"/>
    <mergeCell ref="I502:J502"/>
    <mergeCell ref="K502:Z502"/>
    <mergeCell ref="AA502:AB502"/>
    <mergeCell ref="AC502:AR502"/>
    <mergeCell ref="C503:H503"/>
    <mergeCell ref="I503:J503"/>
    <mergeCell ref="K503:Z503"/>
    <mergeCell ref="AA503:AB503"/>
    <mergeCell ref="AC503:AR503"/>
    <mergeCell ref="C504:H504"/>
    <mergeCell ref="I504:J504"/>
    <mergeCell ref="K504:Z504"/>
    <mergeCell ref="AA504:AB504"/>
    <mergeCell ref="AC504:AR504"/>
    <mergeCell ref="C505:H505"/>
    <mergeCell ref="I505:J505"/>
    <mergeCell ref="K505:Z505"/>
    <mergeCell ref="AA505:AB505"/>
    <mergeCell ref="AC505:AR505"/>
    <mergeCell ref="C495:X495"/>
    <mergeCell ref="Y495:AN495"/>
    <mergeCell ref="AO495:AR495"/>
    <mergeCell ref="C497:X499"/>
    <mergeCell ref="Y497:AN497"/>
    <mergeCell ref="AO497:AR497"/>
    <mergeCell ref="Y498:AG498"/>
    <mergeCell ref="AH498:AN498"/>
    <mergeCell ref="AO498:AR498"/>
    <mergeCell ref="A499:B499"/>
    <mergeCell ref="Y499:AN499"/>
    <mergeCell ref="AO499:AR499"/>
    <mergeCell ref="C501:H501"/>
    <mergeCell ref="I501:J501"/>
    <mergeCell ref="K501:Z501"/>
    <mergeCell ref="AA501:AB501"/>
    <mergeCell ref="AC501:AR501"/>
    <mergeCell ref="C493:E493"/>
    <mergeCell ref="F493:R493"/>
    <mergeCell ref="S493:U493"/>
    <mergeCell ref="V493:X493"/>
    <mergeCell ref="Y493:AD493"/>
    <mergeCell ref="AE493:AG493"/>
    <mergeCell ref="AH493:AJ493"/>
    <mergeCell ref="AK493:AN493"/>
    <mergeCell ref="AO493:AR493"/>
    <mergeCell ref="C494:E494"/>
    <mergeCell ref="F494:R494"/>
    <mergeCell ref="S494:U494"/>
    <mergeCell ref="V494:X494"/>
    <mergeCell ref="Y494:AD494"/>
    <mergeCell ref="AE494:AG494"/>
    <mergeCell ref="AH494:AJ494"/>
    <mergeCell ref="AK494:AN494"/>
    <mergeCell ref="AO494:AR494"/>
    <mergeCell ref="C491:E491"/>
    <mergeCell ref="F491:R491"/>
    <mergeCell ref="S491:U491"/>
    <mergeCell ref="V491:X491"/>
    <mergeCell ref="Y491:AD491"/>
    <mergeCell ref="AE491:AG491"/>
    <mergeCell ref="AH491:AJ491"/>
    <mergeCell ref="AK491:AN491"/>
    <mergeCell ref="AO491:AR491"/>
    <mergeCell ref="C492:E492"/>
    <mergeCell ref="F492:R492"/>
    <mergeCell ref="S492:U492"/>
    <mergeCell ref="V492:X492"/>
    <mergeCell ref="Y492:AD492"/>
    <mergeCell ref="AE492:AG492"/>
    <mergeCell ref="AH492:AJ492"/>
    <mergeCell ref="AK492:AN492"/>
    <mergeCell ref="AO492:AR492"/>
    <mergeCell ref="C489:E489"/>
    <mergeCell ref="F489:R489"/>
    <mergeCell ref="S489:U489"/>
    <mergeCell ref="V489:X489"/>
    <mergeCell ref="Y489:AD489"/>
    <mergeCell ref="AE489:AG489"/>
    <mergeCell ref="AH489:AJ489"/>
    <mergeCell ref="AK489:AN489"/>
    <mergeCell ref="AO489:AR489"/>
    <mergeCell ref="C490:E490"/>
    <mergeCell ref="F490:R490"/>
    <mergeCell ref="S490:U490"/>
    <mergeCell ref="V490:X490"/>
    <mergeCell ref="Y490:AD490"/>
    <mergeCell ref="AE490:AG490"/>
    <mergeCell ref="AH490:AJ490"/>
    <mergeCell ref="AK490:AN490"/>
    <mergeCell ref="AO490:AR490"/>
    <mergeCell ref="C487:E487"/>
    <mergeCell ref="F487:R487"/>
    <mergeCell ref="S487:U487"/>
    <mergeCell ref="V487:X487"/>
    <mergeCell ref="Y487:AD487"/>
    <mergeCell ref="AE487:AG487"/>
    <mergeCell ref="AH487:AJ487"/>
    <mergeCell ref="AK487:AN487"/>
    <mergeCell ref="AO487:AR487"/>
    <mergeCell ref="C488:E488"/>
    <mergeCell ref="F488:R488"/>
    <mergeCell ref="S488:U488"/>
    <mergeCell ref="V488:X488"/>
    <mergeCell ref="Y488:AD488"/>
    <mergeCell ref="AE488:AG488"/>
    <mergeCell ref="AH488:AJ488"/>
    <mergeCell ref="AK488:AN488"/>
    <mergeCell ref="AO488:AR488"/>
    <mergeCell ref="C481:E481"/>
    <mergeCell ref="F481:AB481"/>
    <mergeCell ref="AC481:AF481"/>
    <mergeCell ref="AG481:AJ481"/>
    <mergeCell ref="AK481:AN481"/>
    <mergeCell ref="AO481:AR481"/>
    <mergeCell ref="C482:E482"/>
    <mergeCell ref="F482:AB482"/>
    <mergeCell ref="AC482:AF482"/>
    <mergeCell ref="AG482:AJ482"/>
    <mergeCell ref="AK482:AN482"/>
    <mergeCell ref="AO482:AR482"/>
    <mergeCell ref="C483:X483"/>
    <mergeCell ref="Y483:AN483"/>
    <mergeCell ref="AO483:AR483"/>
    <mergeCell ref="C485:E486"/>
    <mergeCell ref="F485:R486"/>
    <mergeCell ref="S485:U486"/>
    <mergeCell ref="V485:X486"/>
    <mergeCell ref="Y485:AD486"/>
    <mergeCell ref="AE485:AG486"/>
    <mergeCell ref="AH485:AJ486"/>
    <mergeCell ref="AK485:AN486"/>
    <mergeCell ref="AO485:AR486"/>
    <mergeCell ref="C478:E478"/>
    <mergeCell ref="F478:AB478"/>
    <mergeCell ref="AC478:AF478"/>
    <mergeCell ref="AG478:AJ478"/>
    <mergeCell ref="AK478:AN478"/>
    <mergeCell ref="AO478:AR478"/>
    <mergeCell ref="C479:E479"/>
    <mergeCell ref="F479:AB479"/>
    <mergeCell ref="AC479:AF479"/>
    <mergeCell ref="AG479:AJ479"/>
    <mergeCell ref="AK479:AN479"/>
    <mergeCell ref="AO479:AR479"/>
    <mergeCell ref="C480:E480"/>
    <mergeCell ref="F480:AB480"/>
    <mergeCell ref="AC480:AF480"/>
    <mergeCell ref="AG480:AJ480"/>
    <mergeCell ref="AK480:AN480"/>
    <mergeCell ref="AO480:AR480"/>
    <mergeCell ref="C475:E475"/>
    <mergeCell ref="F475:AB475"/>
    <mergeCell ref="AC475:AF475"/>
    <mergeCell ref="AG475:AJ475"/>
    <mergeCell ref="AK475:AN475"/>
    <mergeCell ref="AO475:AR475"/>
    <mergeCell ref="C476:E476"/>
    <mergeCell ref="F476:AB476"/>
    <mergeCell ref="AC476:AF476"/>
    <mergeCell ref="AG476:AJ476"/>
    <mergeCell ref="AK476:AN476"/>
    <mergeCell ref="AO476:AR476"/>
    <mergeCell ref="C477:E477"/>
    <mergeCell ref="F477:AB477"/>
    <mergeCell ref="AC477:AF477"/>
    <mergeCell ref="AG477:AJ477"/>
    <mergeCell ref="AK477:AN477"/>
    <mergeCell ref="AO477:AR477"/>
    <mergeCell ref="C468:X468"/>
    <mergeCell ref="Y468:AN468"/>
    <mergeCell ref="AO468:AR468"/>
    <mergeCell ref="C470:X470"/>
    <mergeCell ref="Y470:AN470"/>
    <mergeCell ref="AO470:AR470"/>
    <mergeCell ref="C471:P471"/>
    <mergeCell ref="Q471:U471"/>
    <mergeCell ref="V471:X471"/>
    <mergeCell ref="Y471:AN471"/>
    <mergeCell ref="AO471:AR471"/>
    <mergeCell ref="C473:E474"/>
    <mergeCell ref="F473:AB474"/>
    <mergeCell ref="AC473:AF474"/>
    <mergeCell ref="AG473:AJ474"/>
    <mergeCell ref="AK473:AN474"/>
    <mergeCell ref="AO473:AR474"/>
    <mergeCell ref="C465:E465"/>
    <mergeCell ref="F465:AB465"/>
    <mergeCell ref="AC465:AF465"/>
    <mergeCell ref="AG465:AJ465"/>
    <mergeCell ref="AK465:AN465"/>
    <mergeCell ref="AO465:AR465"/>
    <mergeCell ref="C466:E466"/>
    <mergeCell ref="F466:AB466"/>
    <mergeCell ref="AC466:AF466"/>
    <mergeCell ref="AG466:AJ466"/>
    <mergeCell ref="AK466:AN466"/>
    <mergeCell ref="AO466:AR466"/>
    <mergeCell ref="C467:X467"/>
    <mergeCell ref="Y467:AF467"/>
    <mergeCell ref="AG467:AJ467"/>
    <mergeCell ref="AK467:AN467"/>
    <mergeCell ref="AO467:AR467"/>
    <mergeCell ref="C462:E462"/>
    <mergeCell ref="F462:AB462"/>
    <mergeCell ref="AC462:AF462"/>
    <mergeCell ref="AG462:AJ462"/>
    <mergeCell ref="AK462:AN462"/>
    <mergeCell ref="AO462:AR462"/>
    <mergeCell ref="C463:E463"/>
    <mergeCell ref="F463:AB463"/>
    <mergeCell ref="AC463:AF463"/>
    <mergeCell ref="AG463:AJ463"/>
    <mergeCell ref="AK463:AN463"/>
    <mergeCell ref="AO463:AR463"/>
    <mergeCell ref="C464:E464"/>
    <mergeCell ref="F464:AB464"/>
    <mergeCell ref="AC464:AF464"/>
    <mergeCell ref="AG464:AJ464"/>
    <mergeCell ref="AK464:AN464"/>
    <mergeCell ref="AO464:AR464"/>
    <mergeCell ref="C459:E459"/>
    <mergeCell ref="F459:AB459"/>
    <mergeCell ref="AC459:AF459"/>
    <mergeCell ref="AG459:AJ459"/>
    <mergeCell ref="AK459:AN459"/>
    <mergeCell ref="AO459:AR459"/>
    <mergeCell ref="C460:E460"/>
    <mergeCell ref="F460:AB460"/>
    <mergeCell ref="AC460:AF460"/>
    <mergeCell ref="AG460:AJ460"/>
    <mergeCell ref="AK460:AN460"/>
    <mergeCell ref="AO460:AR460"/>
    <mergeCell ref="C461:E461"/>
    <mergeCell ref="F461:AB461"/>
    <mergeCell ref="AC461:AF461"/>
    <mergeCell ref="AG461:AJ461"/>
    <mergeCell ref="AK461:AN461"/>
    <mergeCell ref="AO461:AR461"/>
    <mergeCell ref="C454:E454"/>
    <mergeCell ref="F454:U454"/>
    <mergeCell ref="V454:X454"/>
    <mergeCell ref="Y454:AB454"/>
    <mergeCell ref="AC454:AF454"/>
    <mergeCell ref="AG454:AJ454"/>
    <mergeCell ref="AK454:AN454"/>
    <mergeCell ref="AO454:AR454"/>
    <mergeCell ref="C455:X455"/>
    <mergeCell ref="Y455:AN455"/>
    <mergeCell ref="AO455:AR455"/>
    <mergeCell ref="C457:E458"/>
    <mergeCell ref="F457:AB458"/>
    <mergeCell ref="AC457:AF458"/>
    <mergeCell ref="AG457:AJ458"/>
    <mergeCell ref="AK457:AN458"/>
    <mergeCell ref="AO457:AR458"/>
    <mergeCell ref="C451:E451"/>
    <mergeCell ref="F451:U451"/>
    <mergeCell ref="V451:X451"/>
    <mergeCell ref="Y451:AB451"/>
    <mergeCell ref="AC451:AF451"/>
    <mergeCell ref="AG451:AJ451"/>
    <mergeCell ref="AK451:AN451"/>
    <mergeCell ref="AO451:AR451"/>
    <mergeCell ref="C452:E452"/>
    <mergeCell ref="F452:U452"/>
    <mergeCell ref="V452:X452"/>
    <mergeCell ref="Y452:AB452"/>
    <mergeCell ref="AC452:AF452"/>
    <mergeCell ref="AG452:AJ452"/>
    <mergeCell ref="AK452:AN452"/>
    <mergeCell ref="AO452:AR452"/>
    <mergeCell ref="C453:E453"/>
    <mergeCell ref="F453:U453"/>
    <mergeCell ref="V453:X453"/>
    <mergeCell ref="Y453:AB453"/>
    <mergeCell ref="AC453:AF453"/>
    <mergeCell ref="AG453:AJ453"/>
    <mergeCell ref="AK453:AN453"/>
    <mergeCell ref="AO453:AR453"/>
    <mergeCell ref="C448:E448"/>
    <mergeCell ref="F448:U448"/>
    <mergeCell ref="V448:X448"/>
    <mergeCell ref="Y448:AB448"/>
    <mergeCell ref="AC448:AF448"/>
    <mergeCell ref="AG448:AJ448"/>
    <mergeCell ref="AK448:AN448"/>
    <mergeCell ref="AO448:AR448"/>
    <mergeCell ref="C449:E449"/>
    <mergeCell ref="F449:U449"/>
    <mergeCell ref="V449:X449"/>
    <mergeCell ref="Y449:AB449"/>
    <mergeCell ref="AC449:AF449"/>
    <mergeCell ref="AG449:AJ449"/>
    <mergeCell ref="AK449:AN449"/>
    <mergeCell ref="AO449:AR449"/>
    <mergeCell ref="C450:E450"/>
    <mergeCell ref="F450:U450"/>
    <mergeCell ref="V450:X450"/>
    <mergeCell ref="Y450:AB450"/>
    <mergeCell ref="AC450:AF450"/>
    <mergeCell ref="AG450:AJ450"/>
    <mergeCell ref="AK450:AN450"/>
    <mergeCell ref="AO450:AR450"/>
    <mergeCell ref="C445:E446"/>
    <mergeCell ref="F445:U446"/>
    <mergeCell ref="V445:X446"/>
    <mergeCell ref="Y445:AF445"/>
    <mergeCell ref="AG445:AN445"/>
    <mergeCell ref="AO445:AR446"/>
    <mergeCell ref="Y446:AB446"/>
    <mergeCell ref="AC446:AF446"/>
    <mergeCell ref="AG446:AJ446"/>
    <mergeCell ref="AK446:AN446"/>
    <mergeCell ref="C447:E447"/>
    <mergeCell ref="F447:U447"/>
    <mergeCell ref="V447:X447"/>
    <mergeCell ref="Y447:AB447"/>
    <mergeCell ref="AC447:AF447"/>
    <mergeCell ref="AG447:AJ447"/>
    <mergeCell ref="AK447:AN447"/>
    <mergeCell ref="AO447:AR447"/>
    <mergeCell ref="C433:H433"/>
    <mergeCell ref="I433:J433"/>
    <mergeCell ref="K433:Z433"/>
    <mergeCell ref="AA433:AB433"/>
    <mergeCell ref="AC433:AR433"/>
    <mergeCell ref="C435:F435"/>
    <mergeCell ref="G435:AA435"/>
    <mergeCell ref="AB435:AI438"/>
    <mergeCell ref="AJ435:AR438"/>
    <mergeCell ref="C436:F436"/>
    <mergeCell ref="G436:AA436"/>
    <mergeCell ref="C437:F437"/>
    <mergeCell ref="G437:AA437"/>
    <mergeCell ref="C438:AA438"/>
    <mergeCell ref="C440:AR441"/>
    <mergeCell ref="C442:F443"/>
    <mergeCell ref="G442:J443"/>
    <mergeCell ref="K442:N443"/>
    <mergeCell ref="O442:AK443"/>
    <mergeCell ref="AL442:AO443"/>
    <mergeCell ref="AP442:AR443"/>
    <mergeCell ref="C429:H429"/>
    <mergeCell ref="I429:J429"/>
    <mergeCell ref="K429:Z429"/>
    <mergeCell ref="AA429:AB429"/>
    <mergeCell ref="AC429:AR429"/>
    <mergeCell ref="C430:H430"/>
    <mergeCell ref="I430:J430"/>
    <mergeCell ref="K430:Z430"/>
    <mergeCell ref="AA430:AB430"/>
    <mergeCell ref="AC430:AR430"/>
    <mergeCell ref="C431:H431"/>
    <mergeCell ref="I431:J431"/>
    <mergeCell ref="K431:Z431"/>
    <mergeCell ref="AA431:AB431"/>
    <mergeCell ref="AC431:AR431"/>
    <mergeCell ref="C432:H432"/>
    <mergeCell ref="I432:J432"/>
    <mergeCell ref="K432:Z432"/>
    <mergeCell ref="AA432:AB432"/>
    <mergeCell ref="AC432:AR432"/>
    <mergeCell ref="C422:X422"/>
    <mergeCell ref="Y422:AN422"/>
    <mergeCell ref="AO422:AR422"/>
    <mergeCell ref="C424:X426"/>
    <mergeCell ref="Y424:AN424"/>
    <mergeCell ref="AO424:AR424"/>
    <mergeCell ref="Y425:AG425"/>
    <mergeCell ref="AH425:AN425"/>
    <mergeCell ref="AO425:AR425"/>
    <mergeCell ref="A426:B426"/>
    <mergeCell ref="Y426:AN426"/>
    <mergeCell ref="AO426:AR426"/>
    <mergeCell ref="C428:H428"/>
    <mergeCell ref="I428:J428"/>
    <mergeCell ref="K428:Z428"/>
    <mergeCell ref="AA428:AB428"/>
    <mergeCell ref="AC428:AR428"/>
    <mergeCell ref="C420:E420"/>
    <mergeCell ref="F420:R420"/>
    <mergeCell ref="S420:U420"/>
    <mergeCell ref="V420:X420"/>
    <mergeCell ref="Y420:AD420"/>
    <mergeCell ref="AE420:AG420"/>
    <mergeCell ref="AH420:AJ420"/>
    <mergeCell ref="AK420:AN420"/>
    <mergeCell ref="AO420:AR420"/>
    <mergeCell ref="C421:E421"/>
    <mergeCell ref="F421:R421"/>
    <mergeCell ref="S421:U421"/>
    <mergeCell ref="V421:X421"/>
    <mergeCell ref="Y421:AD421"/>
    <mergeCell ref="AE421:AG421"/>
    <mergeCell ref="AH421:AJ421"/>
    <mergeCell ref="AK421:AN421"/>
    <mergeCell ref="AO421:AR421"/>
    <mergeCell ref="C418:E418"/>
    <mergeCell ref="F418:R418"/>
    <mergeCell ref="S418:U418"/>
    <mergeCell ref="V418:X418"/>
    <mergeCell ref="Y418:AD418"/>
    <mergeCell ref="AE418:AG418"/>
    <mergeCell ref="AH418:AJ418"/>
    <mergeCell ref="AK418:AN418"/>
    <mergeCell ref="AO418:AR418"/>
    <mergeCell ref="C419:E419"/>
    <mergeCell ref="F419:R419"/>
    <mergeCell ref="S419:U419"/>
    <mergeCell ref="V419:X419"/>
    <mergeCell ref="Y419:AD419"/>
    <mergeCell ref="AE419:AG419"/>
    <mergeCell ref="AH419:AJ419"/>
    <mergeCell ref="AK419:AN419"/>
    <mergeCell ref="AO419:AR419"/>
    <mergeCell ref="C416:E416"/>
    <mergeCell ref="F416:R416"/>
    <mergeCell ref="S416:U416"/>
    <mergeCell ref="V416:X416"/>
    <mergeCell ref="Y416:AD416"/>
    <mergeCell ref="AE416:AG416"/>
    <mergeCell ref="AH416:AJ416"/>
    <mergeCell ref="AK416:AN416"/>
    <mergeCell ref="AO416:AR416"/>
    <mergeCell ref="C417:E417"/>
    <mergeCell ref="F417:R417"/>
    <mergeCell ref="S417:U417"/>
    <mergeCell ref="V417:X417"/>
    <mergeCell ref="Y417:AD417"/>
    <mergeCell ref="AE417:AG417"/>
    <mergeCell ref="AH417:AJ417"/>
    <mergeCell ref="AK417:AN417"/>
    <mergeCell ref="AO417:AR417"/>
    <mergeCell ref="C414:E414"/>
    <mergeCell ref="F414:R414"/>
    <mergeCell ref="S414:U414"/>
    <mergeCell ref="V414:X414"/>
    <mergeCell ref="Y414:AD414"/>
    <mergeCell ref="AE414:AG414"/>
    <mergeCell ref="AH414:AJ414"/>
    <mergeCell ref="AK414:AN414"/>
    <mergeCell ref="AO414:AR414"/>
    <mergeCell ref="C415:E415"/>
    <mergeCell ref="F415:R415"/>
    <mergeCell ref="S415:U415"/>
    <mergeCell ref="V415:X415"/>
    <mergeCell ref="Y415:AD415"/>
    <mergeCell ref="AE415:AG415"/>
    <mergeCell ref="AH415:AJ415"/>
    <mergeCell ref="AK415:AN415"/>
    <mergeCell ref="AO415:AR415"/>
    <mergeCell ref="C408:E408"/>
    <mergeCell ref="F408:AB408"/>
    <mergeCell ref="AC408:AF408"/>
    <mergeCell ref="AG408:AJ408"/>
    <mergeCell ref="AK408:AN408"/>
    <mergeCell ref="AO408:AR408"/>
    <mergeCell ref="C409:E409"/>
    <mergeCell ref="F409:AB409"/>
    <mergeCell ref="AC409:AF409"/>
    <mergeCell ref="AG409:AJ409"/>
    <mergeCell ref="AK409:AN409"/>
    <mergeCell ref="AO409:AR409"/>
    <mergeCell ref="C410:X410"/>
    <mergeCell ref="Y410:AN410"/>
    <mergeCell ref="AO410:AR410"/>
    <mergeCell ref="C412:E413"/>
    <mergeCell ref="F412:R413"/>
    <mergeCell ref="S412:U413"/>
    <mergeCell ref="V412:X413"/>
    <mergeCell ref="Y412:AD413"/>
    <mergeCell ref="AE412:AG413"/>
    <mergeCell ref="AH412:AJ413"/>
    <mergeCell ref="AK412:AN413"/>
    <mergeCell ref="AO412:AR413"/>
    <mergeCell ref="C405:E405"/>
    <mergeCell ref="F405:AB405"/>
    <mergeCell ref="AC405:AF405"/>
    <mergeCell ref="AG405:AJ405"/>
    <mergeCell ref="AK405:AN405"/>
    <mergeCell ref="AO405:AR405"/>
    <mergeCell ref="C406:E406"/>
    <mergeCell ref="F406:AB406"/>
    <mergeCell ref="AC406:AF406"/>
    <mergeCell ref="AG406:AJ406"/>
    <mergeCell ref="AK406:AN406"/>
    <mergeCell ref="AO406:AR406"/>
    <mergeCell ref="C407:E407"/>
    <mergeCell ref="F407:AB407"/>
    <mergeCell ref="AC407:AF407"/>
    <mergeCell ref="AG407:AJ407"/>
    <mergeCell ref="AK407:AN407"/>
    <mergeCell ref="AO407:AR407"/>
    <mergeCell ref="C402:E402"/>
    <mergeCell ref="F402:AB402"/>
    <mergeCell ref="AC402:AF402"/>
    <mergeCell ref="AG402:AJ402"/>
    <mergeCell ref="AK402:AN402"/>
    <mergeCell ref="AO402:AR402"/>
    <mergeCell ref="C403:E403"/>
    <mergeCell ref="F403:AB403"/>
    <mergeCell ref="AC403:AF403"/>
    <mergeCell ref="AG403:AJ403"/>
    <mergeCell ref="AK403:AN403"/>
    <mergeCell ref="AO403:AR403"/>
    <mergeCell ref="C404:E404"/>
    <mergeCell ref="F404:AB404"/>
    <mergeCell ref="AC404:AF404"/>
    <mergeCell ref="AG404:AJ404"/>
    <mergeCell ref="AK404:AN404"/>
    <mergeCell ref="AO404:AR404"/>
    <mergeCell ref="C395:X395"/>
    <mergeCell ref="Y395:AN395"/>
    <mergeCell ref="AO395:AR395"/>
    <mergeCell ref="C397:X397"/>
    <mergeCell ref="Y397:AN397"/>
    <mergeCell ref="AO397:AR397"/>
    <mergeCell ref="C398:P398"/>
    <mergeCell ref="Q398:U398"/>
    <mergeCell ref="V398:X398"/>
    <mergeCell ref="Y398:AN398"/>
    <mergeCell ref="AO398:AR398"/>
    <mergeCell ref="C400:E401"/>
    <mergeCell ref="F400:AB401"/>
    <mergeCell ref="AC400:AF401"/>
    <mergeCell ref="AG400:AJ401"/>
    <mergeCell ref="AK400:AN401"/>
    <mergeCell ref="AO400:AR401"/>
    <mergeCell ref="C392:E392"/>
    <mergeCell ref="F392:AB392"/>
    <mergeCell ref="AC392:AF392"/>
    <mergeCell ref="AG392:AJ392"/>
    <mergeCell ref="AK392:AN392"/>
    <mergeCell ref="AO392:AR392"/>
    <mergeCell ref="C393:E393"/>
    <mergeCell ref="F393:AB393"/>
    <mergeCell ref="AC393:AF393"/>
    <mergeCell ref="AG393:AJ393"/>
    <mergeCell ref="AK393:AN393"/>
    <mergeCell ref="AO393:AR393"/>
    <mergeCell ref="C394:X394"/>
    <mergeCell ref="Y394:AF394"/>
    <mergeCell ref="AG394:AJ394"/>
    <mergeCell ref="AK394:AN394"/>
    <mergeCell ref="AO394:AR394"/>
    <mergeCell ref="C389:E389"/>
    <mergeCell ref="F389:AB389"/>
    <mergeCell ref="AC389:AF389"/>
    <mergeCell ref="AG389:AJ389"/>
    <mergeCell ref="AK389:AN389"/>
    <mergeCell ref="AO389:AR389"/>
    <mergeCell ref="C390:E390"/>
    <mergeCell ref="F390:AB390"/>
    <mergeCell ref="AC390:AF390"/>
    <mergeCell ref="AG390:AJ390"/>
    <mergeCell ref="AK390:AN390"/>
    <mergeCell ref="AO390:AR390"/>
    <mergeCell ref="C391:E391"/>
    <mergeCell ref="F391:AB391"/>
    <mergeCell ref="AC391:AF391"/>
    <mergeCell ref="AG391:AJ391"/>
    <mergeCell ref="AK391:AN391"/>
    <mergeCell ref="AO391:AR391"/>
    <mergeCell ref="C386:E386"/>
    <mergeCell ref="F386:AB386"/>
    <mergeCell ref="AC386:AF386"/>
    <mergeCell ref="AG386:AJ386"/>
    <mergeCell ref="AK386:AN386"/>
    <mergeCell ref="AO386:AR386"/>
    <mergeCell ref="C387:E387"/>
    <mergeCell ref="F387:AB387"/>
    <mergeCell ref="AC387:AF387"/>
    <mergeCell ref="AG387:AJ387"/>
    <mergeCell ref="AK387:AN387"/>
    <mergeCell ref="AO387:AR387"/>
    <mergeCell ref="C388:E388"/>
    <mergeCell ref="F388:AB388"/>
    <mergeCell ref="AC388:AF388"/>
    <mergeCell ref="AG388:AJ388"/>
    <mergeCell ref="AK388:AN388"/>
    <mergeCell ref="AO388:AR388"/>
    <mergeCell ref="C381:E381"/>
    <mergeCell ref="F381:U381"/>
    <mergeCell ref="V381:X381"/>
    <mergeCell ref="Y381:AB381"/>
    <mergeCell ref="AC381:AF381"/>
    <mergeCell ref="AG381:AJ381"/>
    <mergeCell ref="AK381:AN381"/>
    <mergeCell ref="AO381:AR381"/>
    <mergeCell ref="C382:X382"/>
    <mergeCell ref="Y382:AN382"/>
    <mergeCell ref="AO382:AR382"/>
    <mergeCell ref="C384:E385"/>
    <mergeCell ref="F384:AB385"/>
    <mergeCell ref="AC384:AF385"/>
    <mergeCell ref="AG384:AJ385"/>
    <mergeCell ref="AK384:AN385"/>
    <mergeCell ref="AO384:AR385"/>
    <mergeCell ref="C378:E378"/>
    <mergeCell ref="F378:U378"/>
    <mergeCell ref="V378:X378"/>
    <mergeCell ref="Y378:AB378"/>
    <mergeCell ref="AC378:AF378"/>
    <mergeCell ref="AG378:AJ378"/>
    <mergeCell ref="AK378:AN378"/>
    <mergeCell ref="AO378:AR378"/>
    <mergeCell ref="C379:E379"/>
    <mergeCell ref="F379:U379"/>
    <mergeCell ref="V379:X379"/>
    <mergeCell ref="Y379:AB379"/>
    <mergeCell ref="AC379:AF379"/>
    <mergeCell ref="AG379:AJ379"/>
    <mergeCell ref="AK379:AN379"/>
    <mergeCell ref="AO379:AR379"/>
    <mergeCell ref="C380:E380"/>
    <mergeCell ref="F380:U380"/>
    <mergeCell ref="V380:X380"/>
    <mergeCell ref="Y380:AB380"/>
    <mergeCell ref="AC380:AF380"/>
    <mergeCell ref="AG380:AJ380"/>
    <mergeCell ref="AK380:AN380"/>
    <mergeCell ref="AO380:AR380"/>
    <mergeCell ref="C375:E375"/>
    <mergeCell ref="F375:U375"/>
    <mergeCell ref="V375:X375"/>
    <mergeCell ref="Y375:AB375"/>
    <mergeCell ref="AC375:AF375"/>
    <mergeCell ref="AG375:AJ375"/>
    <mergeCell ref="AK375:AN375"/>
    <mergeCell ref="AO375:AR375"/>
    <mergeCell ref="C376:E376"/>
    <mergeCell ref="F376:U376"/>
    <mergeCell ref="V376:X376"/>
    <mergeCell ref="Y376:AB376"/>
    <mergeCell ref="AC376:AF376"/>
    <mergeCell ref="AG376:AJ376"/>
    <mergeCell ref="AK376:AN376"/>
    <mergeCell ref="AO376:AR376"/>
    <mergeCell ref="C377:E377"/>
    <mergeCell ref="F377:U377"/>
    <mergeCell ref="V377:X377"/>
    <mergeCell ref="Y377:AB377"/>
    <mergeCell ref="AC377:AF377"/>
    <mergeCell ref="AG377:AJ377"/>
    <mergeCell ref="AK377:AN377"/>
    <mergeCell ref="AO377:AR377"/>
    <mergeCell ref="C372:E373"/>
    <mergeCell ref="F372:U373"/>
    <mergeCell ref="V372:X373"/>
    <mergeCell ref="Y372:AF372"/>
    <mergeCell ref="AG372:AN372"/>
    <mergeCell ref="AO372:AR373"/>
    <mergeCell ref="Y373:AB373"/>
    <mergeCell ref="AC373:AF373"/>
    <mergeCell ref="AG373:AJ373"/>
    <mergeCell ref="AK373:AN373"/>
    <mergeCell ref="C374:E374"/>
    <mergeCell ref="F374:U374"/>
    <mergeCell ref="V374:X374"/>
    <mergeCell ref="Y374:AB374"/>
    <mergeCell ref="AC374:AF374"/>
    <mergeCell ref="AG374:AJ374"/>
    <mergeCell ref="AK374:AN374"/>
    <mergeCell ref="AO374:AR374"/>
    <mergeCell ref="C360:H360"/>
    <mergeCell ref="I360:J360"/>
    <mergeCell ref="K360:Z360"/>
    <mergeCell ref="AA360:AB360"/>
    <mergeCell ref="AC360:AR360"/>
    <mergeCell ref="C362:F362"/>
    <mergeCell ref="G362:AA362"/>
    <mergeCell ref="AB362:AI365"/>
    <mergeCell ref="AJ362:AR365"/>
    <mergeCell ref="C363:F363"/>
    <mergeCell ref="G363:AA363"/>
    <mergeCell ref="C364:F364"/>
    <mergeCell ref="G364:AA364"/>
    <mergeCell ref="C365:AA365"/>
    <mergeCell ref="C367:AR368"/>
    <mergeCell ref="C369:F370"/>
    <mergeCell ref="G369:J370"/>
    <mergeCell ref="K369:N370"/>
    <mergeCell ref="O369:AK370"/>
    <mergeCell ref="AL369:AO370"/>
    <mergeCell ref="AP369:AR370"/>
    <mergeCell ref="C356:H356"/>
    <mergeCell ref="I356:J356"/>
    <mergeCell ref="K356:Z356"/>
    <mergeCell ref="AA356:AB356"/>
    <mergeCell ref="AC356:AR356"/>
    <mergeCell ref="C357:H357"/>
    <mergeCell ref="I357:J357"/>
    <mergeCell ref="K357:Z357"/>
    <mergeCell ref="AA357:AB357"/>
    <mergeCell ref="AC357:AR357"/>
    <mergeCell ref="C358:H358"/>
    <mergeCell ref="I358:J358"/>
    <mergeCell ref="K358:Z358"/>
    <mergeCell ref="AA358:AB358"/>
    <mergeCell ref="AC358:AR358"/>
    <mergeCell ref="C359:H359"/>
    <mergeCell ref="I359:J359"/>
    <mergeCell ref="K359:Z359"/>
    <mergeCell ref="AA359:AB359"/>
    <mergeCell ref="AC359:AR359"/>
    <mergeCell ref="C349:X349"/>
    <mergeCell ref="Y349:AN349"/>
    <mergeCell ref="AO349:AR349"/>
    <mergeCell ref="C351:X353"/>
    <mergeCell ref="Y351:AN351"/>
    <mergeCell ref="AO351:AR351"/>
    <mergeCell ref="Y352:AG352"/>
    <mergeCell ref="AH352:AN352"/>
    <mergeCell ref="AO352:AR352"/>
    <mergeCell ref="A353:B353"/>
    <mergeCell ref="Y353:AN353"/>
    <mergeCell ref="AO353:AR353"/>
    <mergeCell ref="C355:H355"/>
    <mergeCell ref="I355:J355"/>
    <mergeCell ref="K355:Z355"/>
    <mergeCell ref="AA355:AB355"/>
    <mergeCell ref="AC355:AR355"/>
    <mergeCell ref="C347:E347"/>
    <mergeCell ref="F347:R347"/>
    <mergeCell ref="S347:U347"/>
    <mergeCell ref="V347:X347"/>
    <mergeCell ref="Y347:AD347"/>
    <mergeCell ref="AE347:AG347"/>
    <mergeCell ref="AH347:AJ347"/>
    <mergeCell ref="AK347:AN347"/>
    <mergeCell ref="AO347:AR347"/>
    <mergeCell ref="C348:E348"/>
    <mergeCell ref="F348:R348"/>
    <mergeCell ref="S348:U348"/>
    <mergeCell ref="V348:X348"/>
    <mergeCell ref="Y348:AD348"/>
    <mergeCell ref="AE348:AG348"/>
    <mergeCell ref="AH348:AJ348"/>
    <mergeCell ref="AK348:AN348"/>
    <mergeCell ref="AO348:AR348"/>
    <mergeCell ref="C345:E345"/>
    <mergeCell ref="F345:R345"/>
    <mergeCell ref="S345:U345"/>
    <mergeCell ref="V345:X345"/>
    <mergeCell ref="Y345:AD345"/>
    <mergeCell ref="AE345:AG345"/>
    <mergeCell ref="AH345:AJ345"/>
    <mergeCell ref="AK345:AN345"/>
    <mergeCell ref="AO345:AR345"/>
    <mergeCell ref="C346:E346"/>
    <mergeCell ref="F346:R346"/>
    <mergeCell ref="S346:U346"/>
    <mergeCell ref="V346:X346"/>
    <mergeCell ref="Y346:AD346"/>
    <mergeCell ref="AE346:AG346"/>
    <mergeCell ref="AH346:AJ346"/>
    <mergeCell ref="AK346:AN346"/>
    <mergeCell ref="AO346:AR346"/>
    <mergeCell ref="C343:E343"/>
    <mergeCell ref="F343:R343"/>
    <mergeCell ref="S343:U343"/>
    <mergeCell ref="V343:X343"/>
    <mergeCell ref="Y343:AD343"/>
    <mergeCell ref="AE343:AG343"/>
    <mergeCell ref="AH343:AJ343"/>
    <mergeCell ref="AK343:AN343"/>
    <mergeCell ref="AO343:AR343"/>
    <mergeCell ref="C344:E344"/>
    <mergeCell ref="F344:R344"/>
    <mergeCell ref="S344:U344"/>
    <mergeCell ref="V344:X344"/>
    <mergeCell ref="Y344:AD344"/>
    <mergeCell ref="AE344:AG344"/>
    <mergeCell ref="AH344:AJ344"/>
    <mergeCell ref="AK344:AN344"/>
    <mergeCell ref="AO344:AR344"/>
    <mergeCell ref="C341:E341"/>
    <mergeCell ref="F341:R341"/>
    <mergeCell ref="S341:U341"/>
    <mergeCell ref="V341:X341"/>
    <mergeCell ref="Y341:AD341"/>
    <mergeCell ref="AE341:AG341"/>
    <mergeCell ref="AH341:AJ341"/>
    <mergeCell ref="AK341:AN341"/>
    <mergeCell ref="AO341:AR341"/>
    <mergeCell ref="C342:E342"/>
    <mergeCell ref="F342:R342"/>
    <mergeCell ref="S342:U342"/>
    <mergeCell ref="V342:X342"/>
    <mergeCell ref="Y342:AD342"/>
    <mergeCell ref="AE342:AG342"/>
    <mergeCell ref="AH342:AJ342"/>
    <mergeCell ref="AK342:AN342"/>
    <mergeCell ref="AO342:AR342"/>
    <mergeCell ref="C335:E335"/>
    <mergeCell ref="F335:AB335"/>
    <mergeCell ref="AC335:AF335"/>
    <mergeCell ref="AG335:AJ335"/>
    <mergeCell ref="AK335:AN335"/>
    <mergeCell ref="AO335:AR335"/>
    <mergeCell ref="C336:E336"/>
    <mergeCell ref="F336:AB336"/>
    <mergeCell ref="AC336:AF336"/>
    <mergeCell ref="AG336:AJ336"/>
    <mergeCell ref="AK336:AN336"/>
    <mergeCell ref="AO336:AR336"/>
    <mergeCell ref="C337:X337"/>
    <mergeCell ref="Y337:AN337"/>
    <mergeCell ref="AO337:AR337"/>
    <mergeCell ref="C339:E340"/>
    <mergeCell ref="F339:R340"/>
    <mergeCell ref="S339:U340"/>
    <mergeCell ref="V339:X340"/>
    <mergeCell ref="Y339:AD340"/>
    <mergeCell ref="AE339:AG340"/>
    <mergeCell ref="AH339:AJ340"/>
    <mergeCell ref="AK339:AN340"/>
    <mergeCell ref="AO339:AR340"/>
    <mergeCell ref="C332:E332"/>
    <mergeCell ref="F332:AB332"/>
    <mergeCell ref="AC332:AF332"/>
    <mergeCell ref="AG332:AJ332"/>
    <mergeCell ref="AK332:AN332"/>
    <mergeCell ref="AO332:AR332"/>
    <mergeCell ref="C333:E333"/>
    <mergeCell ref="F333:AB333"/>
    <mergeCell ref="AC333:AF333"/>
    <mergeCell ref="AG333:AJ333"/>
    <mergeCell ref="AK333:AN333"/>
    <mergeCell ref="AO333:AR333"/>
    <mergeCell ref="C334:E334"/>
    <mergeCell ref="F334:AB334"/>
    <mergeCell ref="AC334:AF334"/>
    <mergeCell ref="AG334:AJ334"/>
    <mergeCell ref="AK334:AN334"/>
    <mergeCell ref="AO334:AR334"/>
    <mergeCell ref="C329:E329"/>
    <mergeCell ref="F329:AB329"/>
    <mergeCell ref="AC329:AF329"/>
    <mergeCell ref="AG329:AJ329"/>
    <mergeCell ref="AK329:AN329"/>
    <mergeCell ref="AO329:AR329"/>
    <mergeCell ref="C330:E330"/>
    <mergeCell ref="F330:AB330"/>
    <mergeCell ref="AC330:AF330"/>
    <mergeCell ref="AG330:AJ330"/>
    <mergeCell ref="AK330:AN330"/>
    <mergeCell ref="AO330:AR330"/>
    <mergeCell ref="C331:E331"/>
    <mergeCell ref="F331:AB331"/>
    <mergeCell ref="AC331:AF331"/>
    <mergeCell ref="AG331:AJ331"/>
    <mergeCell ref="AK331:AN331"/>
    <mergeCell ref="AO331:AR331"/>
    <mergeCell ref="C322:X322"/>
    <mergeCell ref="Y322:AN322"/>
    <mergeCell ref="AO322:AR322"/>
    <mergeCell ref="C324:X324"/>
    <mergeCell ref="Y324:AN324"/>
    <mergeCell ref="AO324:AR324"/>
    <mergeCell ref="C325:P325"/>
    <mergeCell ref="Q325:U325"/>
    <mergeCell ref="V325:X325"/>
    <mergeCell ref="Y325:AN325"/>
    <mergeCell ref="AO325:AR325"/>
    <mergeCell ref="C327:E328"/>
    <mergeCell ref="F327:AB328"/>
    <mergeCell ref="AC327:AF328"/>
    <mergeCell ref="AG327:AJ328"/>
    <mergeCell ref="AK327:AN328"/>
    <mergeCell ref="AO327:AR328"/>
    <mergeCell ref="C319:E319"/>
    <mergeCell ref="F319:AB319"/>
    <mergeCell ref="AC319:AF319"/>
    <mergeCell ref="AG319:AJ319"/>
    <mergeCell ref="AK319:AN319"/>
    <mergeCell ref="AO319:AR319"/>
    <mergeCell ref="C320:E320"/>
    <mergeCell ref="F320:AB320"/>
    <mergeCell ref="AC320:AF320"/>
    <mergeCell ref="AG320:AJ320"/>
    <mergeCell ref="AK320:AN320"/>
    <mergeCell ref="AO320:AR320"/>
    <mergeCell ref="C321:X321"/>
    <mergeCell ref="Y321:AF321"/>
    <mergeCell ref="AG321:AJ321"/>
    <mergeCell ref="AK321:AN321"/>
    <mergeCell ref="AO321:AR321"/>
    <mergeCell ref="C316:E316"/>
    <mergeCell ref="F316:AB316"/>
    <mergeCell ref="AC316:AF316"/>
    <mergeCell ref="AG316:AJ316"/>
    <mergeCell ref="AK316:AN316"/>
    <mergeCell ref="AO316:AR316"/>
    <mergeCell ref="C317:E317"/>
    <mergeCell ref="F317:AB317"/>
    <mergeCell ref="AC317:AF317"/>
    <mergeCell ref="AG317:AJ317"/>
    <mergeCell ref="AK317:AN317"/>
    <mergeCell ref="AO317:AR317"/>
    <mergeCell ref="C318:E318"/>
    <mergeCell ref="F318:AB318"/>
    <mergeCell ref="AC318:AF318"/>
    <mergeCell ref="AG318:AJ318"/>
    <mergeCell ref="AK318:AN318"/>
    <mergeCell ref="AO318:AR318"/>
    <mergeCell ref="C313:E313"/>
    <mergeCell ref="F313:AB313"/>
    <mergeCell ref="AC313:AF313"/>
    <mergeCell ref="AG313:AJ313"/>
    <mergeCell ref="AK313:AN313"/>
    <mergeCell ref="AO313:AR313"/>
    <mergeCell ref="C314:E314"/>
    <mergeCell ref="F314:AB314"/>
    <mergeCell ref="AC314:AF314"/>
    <mergeCell ref="AG314:AJ314"/>
    <mergeCell ref="AK314:AN314"/>
    <mergeCell ref="AO314:AR314"/>
    <mergeCell ref="C315:E315"/>
    <mergeCell ref="F315:AB315"/>
    <mergeCell ref="AC315:AF315"/>
    <mergeCell ref="AG315:AJ315"/>
    <mergeCell ref="AK315:AN315"/>
    <mergeCell ref="AO315:AR315"/>
    <mergeCell ref="C308:E308"/>
    <mergeCell ref="F308:U308"/>
    <mergeCell ref="V308:X308"/>
    <mergeCell ref="Y308:AB308"/>
    <mergeCell ref="AC308:AF308"/>
    <mergeCell ref="AG308:AJ308"/>
    <mergeCell ref="AK308:AN308"/>
    <mergeCell ref="AO308:AR308"/>
    <mergeCell ref="C309:X309"/>
    <mergeCell ref="Y309:AN309"/>
    <mergeCell ref="AO309:AR309"/>
    <mergeCell ref="C311:E312"/>
    <mergeCell ref="F311:AB312"/>
    <mergeCell ref="AC311:AF312"/>
    <mergeCell ref="AG311:AJ312"/>
    <mergeCell ref="AK311:AN312"/>
    <mergeCell ref="AO311:AR312"/>
    <mergeCell ref="C305:E305"/>
    <mergeCell ref="F305:U305"/>
    <mergeCell ref="V305:X305"/>
    <mergeCell ref="Y305:AB305"/>
    <mergeCell ref="AC305:AF305"/>
    <mergeCell ref="AG305:AJ305"/>
    <mergeCell ref="AK305:AN305"/>
    <mergeCell ref="AO305:AR305"/>
    <mergeCell ref="C306:E306"/>
    <mergeCell ref="F306:U306"/>
    <mergeCell ref="V306:X306"/>
    <mergeCell ref="Y306:AB306"/>
    <mergeCell ref="AC306:AF306"/>
    <mergeCell ref="AG306:AJ306"/>
    <mergeCell ref="AK306:AN306"/>
    <mergeCell ref="AO306:AR306"/>
    <mergeCell ref="C307:E307"/>
    <mergeCell ref="F307:U307"/>
    <mergeCell ref="V307:X307"/>
    <mergeCell ref="Y307:AB307"/>
    <mergeCell ref="AC307:AF307"/>
    <mergeCell ref="AG307:AJ307"/>
    <mergeCell ref="AK307:AN307"/>
    <mergeCell ref="AO307:AR307"/>
    <mergeCell ref="C302:E302"/>
    <mergeCell ref="F302:U302"/>
    <mergeCell ref="V302:X302"/>
    <mergeCell ref="Y302:AB302"/>
    <mergeCell ref="AC302:AF302"/>
    <mergeCell ref="AG302:AJ302"/>
    <mergeCell ref="AK302:AN302"/>
    <mergeCell ref="AO302:AR302"/>
    <mergeCell ref="C303:E303"/>
    <mergeCell ref="F303:U303"/>
    <mergeCell ref="V303:X303"/>
    <mergeCell ref="Y303:AB303"/>
    <mergeCell ref="AC303:AF303"/>
    <mergeCell ref="AG303:AJ303"/>
    <mergeCell ref="AK303:AN303"/>
    <mergeCell ref="AO303:AR303"/>
    <mergeCell ref="C304:E304"/>
    <mergeCell ref="F304:U304"/>
    <mergeCell ref="V304:X304"/>
    <mergeCell ref="Y304:AB304"/>
    <mergeCell ref="AC304:AF304"/>
    <mergeCell ref="AG304:AJ304"/>
    <mergeCell ref="AK304:AN304"/>
    <mergeCell ref="AO304:AR304"/>
    <mergeCell ref="C299:E300"/>
    <mergeCell ref="F299:U300"/>
    <mergeCell ref="V299:X300"/>
    <mergeCell ref="Y299:AF299"/>
    <mergeCell ref="AG299:AN299"/>
    <mergeCell ref="AO299:AR300"/>
    <mergeCell ref="Y300:AB300"/>
    <mergeCell ref="AC300:AF300"/>
    <mergeCell ref="AG300:AJ300"/>
    <mergeCell ref="AK300:AN300"/>
    <mergeCell ref="C301:E301"/>
    <mergeCell ref="F301:U301"/>
    <mergeCell ref="V301:X301"/>
    <mergeCell ref="Y301:AB301"/>
    <mergeCell ref="AC301:AF301"/>
    <mergeCell ref="AG301:AJ301"/>
    <mergeCell ref="AK301:AN301"/>
    <mergeCell ref="AO301:AR301"/>
    <mergeCell ref="C287:H287"/>
    <mergeCell ref="I287:J287"/>
    <mergeCell ref="K287:Z287"/>
    <mergeCell ref="AA287:AB287"/>
    <mergeCell ref="AC287:AR287"/>
    <mergeCell ref="C289:F289"/>
    <mergeCell ref="G289:AA289"/>
    <mergeCell ref="AB289:AI292"/>
    <mergeCell ref="AJ289:AR292"/>
    <mergeCell ref="C290:F290"/>
    <mergeCell ref="G290:AA290"/>
    <mergeCell ref="C291:F291"/>
    <mergeCell ref="G291:AA291"/>
    <mergeCell ref="C292:AA292"/>
    <mergeCell ref="C294:AR295"/>
    <mergeCell ref="C296:F297"/>
    <mergeCell ref="G296:J297"/>
    <mergeCell ref="K296:N297"/>
    <mergeCell ref="O296:AK297"/>
    <mergeCell ref="AL296:AO297"/>
    <mergeCell ref="AP296:AR297"/>
    <mergeCell ref="C283:H283"/>
    <mergeCell ref="I283:J283"/>
    <mergeCell ref="K283:Z283"/>
    <mergeCell ref="AA283:AB283"/>
    <mergeCell ref="AC283:AR283"/>
    <mergeCell ref="C284:H284"/>
    <mergeCell ref="I284:J284"/>
    <mergeCell ref="K284:Z284"/>
    <mergeCell ref="AA284:AB284"/>
    <mergeCell ref="AC284:AR284"/>
    <mergeCell ref="C285:H285"/>
    <mergeCell ref="I285:J285"/>
    <mergeCell ref="K285:Z285"/>
    <mergeCell ref="AA285:AB285"/>
    <mergeCell ref="AC285:AR285"/>
    <mergeCell ref="C286:H286"/>
    <mergeCell ref="I286:J286"/>
    <mergeCell ref="K286:Z286"/>
    <mergeCell ref="AA286:AB286"/>
    <mergeCell ref="AC286:AR286"/>
    <mergeCell ref="C276:X276"/>
    <mergeCell ref="Y276:AN276"/>
    <mergeCell ref="AO276:AR276"/>
    <mergeCell ref="C278:X280"/>
    <mergeCell ref="Y278:AN278"/>
    <mergeCell ref="AO278:AR278"/>
    <mergeCell ref="Y279:AG279"/>
    <mergeCell ref="AH279:AN279"/>
    <mergeCell ref="AO279:AR279"/>
    <mergeCell ref="A280:B280"/>
    <mergeCell ref="Y280:AN280"/>
    <mergeCell ref="AO280:AR280"/>
    <mergeCell ref="C282:H282"/>
    <mergeCell ref="I282:J282"/>
    <mergeCell ref="K282:Z282"/>
    <mergeCell ref="AA282:AB282"/>
    <mergeCell ref="AC282:AR282"/>
    <mergeCell ref="C274:E274"/>
    <mergeCell ref="F274:R274"/>
    <mergeCell ref="S274:U274"/>
    <mergeCell ref="V274:X274"/>
    <mergeCell ref="Y274:AD274"/>
    <mergeCell ref="AE274:AG274"/>
    <mergeCell ref="AH274:AJ274"/>
    <mergeCell ref="AK274:AN274"/>
    <mergeCell ref="AO274:AR274"/>
    <mergeCell ref="C275:E275"/>
    <mergeCell ref="F275:R275"/>
    <mergeCell ref="S275:U275"/>
    <mergeCell ref="V275:X275"/>
    <mergeCell ref="Y275:AD275"/>
    <mergeCell ref="AE275:AG275"/>
    <mergeCell ref="AH275:AJ275"/>
    <mergeCell ref="AK275:AN275"/>
    <mergeCell ref="AO275:AR275"/>
    <mergeCell ref="C272:E272"/>
    <mergeCell ref="F272:R272"/>
    <mergeCell ref="S272:U272"/>
    <mergeCell ref="V272:X272"/>
    <mergeCell ref="Y272:AD272"/>
    <mergeCell ref="AE272:AG272"/>
    <mergeCell ref="AH272:AJ272"/>
    <mergeCell ref="AK272:AN272"/>
    <mergeCell ref="AO272:AR272"/>
    <mergeCell ref="C273:E273"/>
    <mergeCell ref="F273:R273"/>
    <mergeCell ref="S273:U273"/>
    <mergeCell ref="V273:X273"/>
    <mergeCell ref="Y273:AD273"/>
    <mergeCell ref="AE273:AG273"/>
    <mergeCell ref="AH273:AJ273"/>
    <mergeCell ref="AK273:AN273"/>
    <mergeCell ref="AO273:AR273"/>
    <mergeCell ref="C270:E270"/>
    <mergeCell ref="F270:R270"/>
    <mergeCell ref="S270:U270"/>
    <mergeCell ref="V270:X270"/>
    <mergeCell ref="Y270:AD270"/>
    <mergeCell ref="AE270:AG270"/>
    <mergeCell ref="AH270:AJ270"/>
    <mergeCell ref="AK270:AN270"/>
    <mergeCell ref="AO270:AR270"/>
    <mergeCell ref="C271:E271"/>
    <mergeCell ref="F271:R271"/>
    <mergeCell ref="S271:U271"/>
    <mergeCell ref="V271:X271"/>
    <mergeCell ref="Y271:AD271"/>
    <mergeCell ref="AE271:AG271"/>
    <mergeCell ref="AH271:AJ271"/>
    <mergeCell ref="AK271:AN271"/>
    <mergeCell ref="AO271:AR271"/>
    <mergeCell ref="C268:E268"/>
    <mergeCell ref="F268:R268"/>
    <mergeCell ref="S268:U268"/>
    <mergeCell ref="V268:X268"/>
    <mergeCell ref="Y268:AD268"/>
    <mergeCell ref="AE268:AG268"/>
    <mergeCell ref="AH268:AJ268"/>
    <mergeCell ref="AK268:AN268"/>
    <mergeCell ref="AO268:AR268"/>
    <mergeCell ref="C269:E269"/>
    <mergeCell ref="F269:R269"/>
    <mergeCell ref="S269:U269"/>
    <mergeCell ref="V269:X269"/>
    <mergeCell ref="Y269:AD269"/>
    <mergeCell ref="AE269:AG269"/>
    <mergeCell ref="AH269:AJ269"/>
    <mergeCell ref="AK269:AN269"/>
    <mergeCell ref="AO269:AR269"/>
    <mergeCell ref="C262:E262"/>
    <mergeCell ref="F262:AB262"/>
    <mergeCell ref="AC262:AF262"/>
    <mergeCell ref="AG262:AJ262"/>
    <mergeCell ref="AK262:AN262"/>
    <mergeCell ref="AO262:AR262"/>
    <mergeCell ref="C263:E263"/>
    <mergeCell ref="F263:AB263"/>
    <mergeCell ref="AC263:AF263"/>
    <mergeCell ref="AG263:AJ263"/>
    <mergeCell ref="AK263:AN263"/>
    <mergeCell ref="AO263:AR263"/>
    <mergeCell ref="C264:X264"/>
    <mergeCell ref="Y264:AN264"/>
    <mergeCell ref="AO264:AR264"/>
    <mergeCell ref="C266:E267"/>
    <mergeCell ref="F266:R267"/>
    <mergeCell ref="S266:U267"/>
    <mergeCell ref="V266:X267"/>
    <mergeCell ref="Y266:AD267"/>
    <mergeCell ref="AE266:AG267"/>
    <mergeCell ref="AH266:AJ267"/>
    <mergeCell ref="AK266:AN267"/>
    <mergeCell ref="AO266:AR267"/>
    <mergeCell ref="C259:E259"/>
    <mergeCell ref="F259:AB259"/>
    <mergeCell ref="AC259:AF259"/>
    <mergeCell ref="AG259:AJ259"/>
    <mergeCell ref="AK259:AN259"/>
    <mergeCell ref="AO259:AR259"/>
    <mergeCell ref="C260:E260"/>
    <mergeCell ref="F260:AB260"/>
    <mergeCell ref="AC260:AF260"/>
    <mergeCell ref="AG260:AJ260"/>
    <mergeCell ref="AK260:AN260"/>
    <mergeCell ref="AO260:AR260"/>
    <mergeCell ref="C261:E261"/>
    <mergeCell ref="F261:AB261"/>
    <mergeCell ref="AC261:AF261"/>
    <mergeCell ref="AG261:AJ261"/>
    <mergeCell ref="AK261:AN261"/>
    <mergeCell ref="AO261:AR261"/>
    <mergeCell ref="C256:E256"/>
    <mergeCell ref="F256:AB256"/>
    <mergeCell ref="AC256:AF256"/>
    <mergeCell ref="AG256:AJ256"/>
    <mergeCell ref="AK256:AN256"/>
    <mergeCell ref="AO256:AR256"/>
    <mergeCell ref="C257:E257"/>
    <mergeCell ref="F257:AB257"/>
    <mergeCell ref="AC257:AF257"/>
    <mergeCell ref="AG257:AJ257"/>
    <mergeCell ref="AK257:AN257"/>
    <mergeCell ref="AO257:AR257"/>
    <mergeCell ref="C258:E258"/>
    <mergeCell ref="F258:AB258"/>
    <mergeCell ref="AC258:AF258"/>
    <mergeCell ref="AG258:AJ258"/>
    <mergeCell ref="AK258:AN258"/>
    <mergeCell ref="AO258:AR258"/>
    <mergeCell ref="C249:X249"/>
    <mergeCell ref="Y249:AN249"/>
    <mergeCell ref="AO249:AR249"/>
    <mergeCell ref="C251:X251"/>
    <mergeCell ref="Y251:AN251"/>
    <mergeCell ref="AO251:AR251"/>
    <mergeCell ref="C252:P252"/>
    <mergeCell ref="Q252:U252"/>
    <mergeCell ref="V252:X252"/>
    <mergeCell ref="Y252:AN252"/>
    <mergeCell ref="AO252:AR252"/>
    <mergeCell ref="C254:E255"/>
    <mergeCell ref="F254:AB255"/>
    <mergeCell ref="AC254:AF255"/>
    <mergeCell ref="AG254:AJ255"/>
    <mergeCell ref="AK254:AN255"/>
    <mergeCell ref="AO254:AR255"/>
    <mergeCell ref="C246:E246"/>
    <mergeCell ref="F246:AB246"/>
    <mergeCell ref="AC246:AF246"/>
    <mergeCell ref="AG246:AJ246"/>
    <mergeCell ref="AK246:AN246"/>
    <mergeCell ref="AO246:AR246"/>
    <mergeCell ref="C247:E247"/>
    <mergeCell ref="F247:AB247"/>
    <mergeCell ref="AC247:AF247"/>
    <mergeCell ref="AG247:AJ247"/>
    <mergeCell ref="AK247:AN247"/>
    <mergeCell ref="AO247:AR247"/>
    <mergeCell ref="C248:X248"/>
    <mergeCell ref="Y248:AF248"/>
    <mergeCell ref="AG248:AJ248"/>
    <mergeCell ref="AK248:AN248"/>
    <mergeCell ref="AO248:AR248"/>
    <mergeCell ref="C243:E243"/>
    <mergeCell ref="F243:AB243"/>
    <mergeCell ref="AC243:AF243"/>
    <mergeCell ref="AG243:AJ243"/>
    <mergeCell ref="AK243:AN243"/>
    <mergeCell ref="AO243:AR243"/>
    <mergeCell ref="C244:E244"/>
    <mergeCell ref="F244:AB244"/>
    <mergeCell ref="AC244:AF244"/>
    <mergeCell ref="AG244:AJ244"/>
    <mergeCell ref="AK244:AN244"/>
    <mergeCell ref="AO244:AR244"/>
    <mergeCell ref="C245:E245"/>
    <mergeCell ref="F245:AB245"/>
    <mergeCell ref="AC245:AF245"/>
    <mergeCell ref="AG245:AJ245"/>
    <mergeCell ref="AK245:AN245"/>
    <mergeCell ref="AO245:AR245"/>
    <mergeCell ref="C240:E240"/>
    <mergeCell ref="F240:AB240"/>
    <mergeCell ref="AC240:AF240"/>
    <mergeCell ref="AG240:AJ240"/>
    <mergeCell ref="AK240:AN240"/>
    <mergeCell ref="AO240:AR240"/>
    <mergeCell ref="C241:E241"/>
    <mergeCell ref="F241:AB241"/>
    <mergeCell ref="AC241:AF241"/>
    <mergeCell ref="AG241:AJ241"/>
    <mergeCell ref="AK241:AN241"/>
    <mergeCell ref="AO241:AR241"/>
    <mergeCell ref="C242:E242"/>
    <mergeCell ref="F242:AB242"/>
    <mergeCell ref="AC242:AF242"/>
    <mergeCell ref="AG242:AJ242"/>
    <mergeCell ref="AK242:AN242"/>
    <mergeCell ref="AO242:AR242"/>
    <mergeCell ref="C235:E235"/>
    <mergeCell ref="F235:U235"/>
    <mergeCell ref="V235:X235"/>
    <mergeCell ref="Y235:AB235"/>
    <mergeCell ref="AC235:AF235"/>
    <mergeCell ref="AG235:AJ235"/>
    <mergeCell ref="AK235:AN235"/>
    <mergeCell ref="AO235:AR235"/>
    <mergeCell ref="C236:X236"/>
    <mergeCell ref="Y236:AN236"/>
    <mergeCell ref="AO236:AR236"/>
    <mergeCell ref="C238:E239"/>
    <mergeCell ref="F238:AB239"/>
    <mergeCell ref="AC238:AF239"/>
    <mergeCell ref="AG238:AJ239"/>
    <mergeCell ref="AK238:AN239"/>
    <mergeCell ref="AO238:AR239"/>
    <mergeCell ref="C232:E232"/>
    <mergeCell ref="F232:U232"/>
    <mergeCell ref="V232:X232"/>
    <mergeCell ref="Y232:AB232"/>
    <mergeCell ref="AC232:AF232"/>
    <mergeCell ref="AG232:AJ232"/>
    <mergeCell ref="AK232:AN232"/>
    <mergeCell ref="AO232:AR232"/>
    <mergeCell ref="C233:E233"/>
    <mergeCell ref="F233:U233"/>
    <mergeCell ref="V233:X233"/>
    <mergeCell ref="Y233:AB233"/>
    <mergeCell ref="AC233:AF233"/>
    <mergeCell ref="AG233:AJ233"/>
    <mergeCell ref="AK233:AN233"/>
    <mergeCell ref="AO233:AR233"/>
    <mergeCell ref="C234:E234"/>
    <mergeCell ref="F234:U234"/>
    <mergeCell ref="V234:X234"/>
    <mergeCell ref="Y234:AB234"/>
    <mergeCell ref="AC234:AF234"/>
    <mergeCell ref="AG234:AJ234"/>
    <mergeCell ref="AK234:AN234"/>
    <mergeCell ref="AO234:AR234"/>
    <mergeCell ref="C229:E229"/>
    <mergeCell ref="F229:U229"/>
    <mergeCell ref="V229:X229"/>
    <mergeCell ref="Y229:AB229"/>
    <mergeCell ref="AC229:AF229"/>
    <mergeCell ref="AG229:AJ229"/>
    <mergeCell ref="AK229:AN229"/>
    <mergeCell ref="AO229:AR229"/>
    <mergeCell ref="C230:E230"/>
    <mergeCell ref="F230:U230"/>
    <mergeCell ref="V230:X230"/>
    <mergeCell ref="Y230:AB230"/>
    <mergeCell ref="AC230:AF230"/>
    <mergeCell ref="AG230:AJ230"/>
    <mergeCell ref="AK230:AN230"/>
    <mergeCell ref="AO230:AR230"/>
    <mergeCell ref="C231:E231"/>
    <mergeCell ref="F231:U231"/>
    <mergeCell ref="V231:X231"/>
    <mergeCell ref="Y231:AB231"/>
    <mergeCell ref="AC231:AF231"/>
    <mergeCell ref="AG231:AJ231"/>
    <mergeCell ref="AK231:AN231"/>
    <mergeCell ref="AO231:AR231"/>
    <mergeCell ref="C226:E227"/>
    <mergeCell ref="F226:U227"/>
    <mergeCell ref="V226:X227"/>
    <mergeCell ref="Y226:AF226"/>
    <mergeCell ref="AG226:AN226"/>
    <mergeCell ref="AO226:AR227"/>
    <mergeCell ref="Y227:AB227"/>
    <mergeCell ref="AC227:AF227"/>
    <mergeCell ref="AG227:AJ227"/>
    <mergeCell ref="AK227:AN227"/>
    <mergeCell ref="C228:E228"/>
    <mergeCell ref="F228:U228"/>
    <mergeCell ref="V228:X228"/>
    <mergeCell ref="Y228:AB228"/>
    <mergeCell ref="AC228:AF228"/>
    <mergeCell ref="AG228:AJ228"/>
    <mergeCell ref="AK228:AN228"/>
    <mergeCell ref="AO228:AR228"/>
    <mergeCell ref="C141:H141"/>
    <mergeCell ref="I141:J141"/>
    <mergeCell ref="K141:Z141"/>
    <mergeCell ref="AA141:AB141"/>
    <mergeCell ref="AC141:AR141"/>
    <mergeCell ref="C143:F143"/>
    <mergeCell ref="G143:AA143"/>
    <mergeCell ref="AB143:AI146"/>
    <mergeCell ref="AJ143:AR146"/>
    <mergeCell ref="C144:F144"/>
    <mergeCell ref="G144:AA144"/>
    <mergeCell ref="C145:F145"/>
    <mergeCell ref="G145:AA145"/>
    <mergeCell ref="C146:AA146"/>
    <mergeCell ref="C221:AR222"/>
    <mergeCell ref="C223:F224"/>
    <mergeCell ref="G223:J224"/>
    <mergeCell ref="K223:N224"/>
    <mergeCell ref="O223:AK224"/>
    <mergeCell ref="AL223:AO224"/>
    <mergeCell ref="AP223:AR224"/>
    <mergeCell ref="F155:U155"/>
    <mergeCell ref="V155:X155"/>
    <mergeCell ref="Y155:AB155"/>
    <mergeCell ref="AC155:AF155"/>
    <mergeCell ref="AG155:AJ155"/>
    <mergeCell ref="AK155:AN155"/>
    <mergeCell ref="AO155:AR155"/>
    <mergeCell ref="C156:E156"/>
    <mergeCell ref="F156:U156"/>
    <mergeCell ref="V156:X156"/>
    <mergeCell ref="Y156:AB156"/>
    <mergeCell ref="C137:H137"/>
    <mergeCell ref="I137:J137"/>
    <mergeCell ref="K137:Z137"/>
    <mergeCell ref="AA137:AB137"/>
    <mergeCell ref="AC137:AR137"/>
    <mergeCell ref="C138:H138"/>
    <mergeCell ref="I138:J138"/>
    <mergeCell ref="K138:Z138"/>
    <mergeCell ref="AA138:AB138"/>
    <mergeCell ref="AC138:AR138"/>
    <mergeCell ref="C139:H139"/>
    <mergeCell ref="I139:J139"/>
    <mergeCell ref="K139:Z139"/>
    <mergeCell ref="AA139:AB139"/>
    <mergeCell ref="AC139:AR139"/>
    <mergeCell ref="C140:H140"/>
    <mergeCell ref="I140:J140"/>
    <mergeCell ref="K140:Z140"/>
    <mergeCell ref="AA140:AB140"/>
    <mergeCell ref="AC140:AR140"/>
    <mergeCell ref="C130:X130"/>
    <mergeCell ref="Y130:AN130"/>
    <mergeCell ref="AO130:AR130"/>
    <mergeCell ref="C132:X134"/>
    <mergeCell ref="Y132:AN132"/>
    <mergeCell ref="AO132:AR132"/>
    <mergeCell ref="Y133:AG133"/>
    <mergeCell ref="AH133:AN133"/>
    <mergeCell ref="AO133:AR133"/>
    <mergeCell ref="A134:B134"/>
    <mergeCell ref="Y134:AN134"/>
    <mergeCell ref="AO134:AR134"/>
    <mergeCell ref="C136:H136"/>
    <mergeCell ref="I136:J136"/>
    <mergeCell ref="K136:Z136"/>
    <mergeCell ref="AA136:AB136"/>
    <mergeCell ref="AC136:AR136"/>
    <mergeCell ref="C128:E128"/>
    <mergeCell ref="F128:R128"/>
    <mergeCell ref="S128:U128"/>
    <mergeCell ref="V128:X128"/>
    <mergeCell ref="Y128:AD128"/>
    <mergeCell ref="AE128:AG128"/>
    <mergeCell ref="AH128:AJ128"/>
    <mergeCell ref="AK128:AN128"/>
    <mergeCell ref="AO128:AR128"/>
    <mergeCell ref="C129:E129"/>
    <mergeCell ref="F129:R129"/>
    <mergeCell ref="S129:U129"/>
    <mergeCell ref="V129:X129"/>
    <mergeCell ref="Y129:AD129"/>
    <mergeCell ref="AE129:AG129"/>
    <mergeCell ref="AH129:AJ129"/>
    <mergeCell ref="AK129:AN129"/>
    <mergeCell ref="AO129:AR129"/>
    <mergeCell ref="C126:E126"/>
    <mergeCell ref="F126:R126"/>
    <mergeCell ref="S126:U126"/>
    <mergeCell ref="V126:X126"/>
    <mergeCell ref="Y126:AD126"/>
    <mergeCell ref="AE126:AG126"/>
    <mergeCell ref="AH126:AJ126"/>
    <mergeCell ref="AK126:AN126"/>
    <mergeCell ref="AO126:AR126"/>
    <mergeCell ref="C127:E127"/>
    <mergeCell ref="F127:R127"/>
    <mergeCell ref="S127:U127"/>
    <mergeCell ref="V127:X127"/>
    <mergeCell ref="Y127:AD127"/>
    <mergeCell ref="AE127:AG127"/>
    <mergeCell ref="AH127:AJ127"/>
    <mergeCell ref="AK127:AN127"/>
    <mergeCell ref="AO127:AR127"/>
    <mergeCell ref="C124:E124"/>
    <mergeCell ref="F124:R124"/>
    <mergeCell ref="S124:U124"/>
    <mergeCell ref="V124:X124"/>
    <mergeCell ref="Y124:AD124"/>
    <mergeCell ref="AE124:AG124"/>
    <mergeCell ref="AH124:AJ124"/>
    <mergeCell ref="AK124:AN124"/>
    <mergeCell ref="AO124:AR124"/>
    <mergeCell ref="C125:E125"/>
    <mergeCell ref="F125:R125"/>
    <mergeCell ref="S125:U125"/>
    <mergeCell ref="V125:X125"/>
    <mergeCell ref="Y125:AD125"/>
    <mergeCell ref="AE125:AG125"/>
    <mergeCell ref="AH125:AJ125"/>
    <mergeCell ref="AK125:AN125"/>
    <mergeCell ref="AO125:AR125"/>
    <mergeCell ref="C122:E122"/>
    <mergeCell ref="F122:R122"/>
    <mergeCell ref="S122:U122"/>
    <mergeCell ref="V122:X122"/>
    <mergeCell ref="Y122:AD122"/>
    <mergeCell ref="AE122:AG122"/>
    <mergeCell ref="AH122:AJ122"/>
    <mergeCell ref="AK122:AN122"/>
    <mergeCell ref="AO122:AR122"/>
    <mergeCell ref="C123:E123"/>
    <mergeCell ref="F123:R123"/>
    <mergeCell ref="S123:U123"/>
    <mergeCell ref="V123:X123"/>
    <mergeCell ref="Y123:AD123"/>
    <mergeCell ref="AE123:AG123"/>
    <mergeCell ref="AH123:AJ123"/>
    <mergeCell ref="AK123:AN123"/>
    <mergeCell ref="AO123:AR123"/>
    <mergeCell ref="C116:E116"/>
    <mergeCell ref="F116:AB116"/>
    <mergeCell ref="AC116:AF116"/>
    <mergeCell ref="AG116:AJ116"/>
    <mergeCell ref="AK116:AN116"/>
    <mergeCell ref="AO116:AR116"/>
    <mergeCell ref="C117:E117"/>
    <mergeCell ref="F117:AB117"/>
    <mergeCell ref="AC117:AF117"/>
    <mergeCell ref="AG117:AJ117"/>
    <mergeCell ref="AK117:AN117"/>
    <mergeCell ref="AO117:AR117"/>
    <mergeCell ref="C118:X118"/>
    <mergeCell ref="Y118:AN118"/>
    <mergeCell ref="AO118:AR118"/>
    <mergeCell ref="C120:E121"/>
    <mergeCell ref="F120:R121"/>
    <mergeCell ref="S120:U121"/>
    <mergeCell ref="V120:X121"/>
    <mergeCell ref="Y120:AD121"/>
    <mergeCell ref="AE120:AG121"/>
    <mergeCell ref="AH120:AJ121"/>
    <mergeCell ref="AK120:AN121"/>
    <mergeCell ref="AO120:AR121"/>
    <mergeCell ref="C113:E113"/>
    <mergeCell ref="F113:AB113"/>
    <mergeCell ref="AC113:AF113"/>
    <mergeCell ref="AG113:AJ113"/>
    <mergeCell ref="AK113:AN113"/>
    <mergeCell ref="AO113:AR113"/>
    <mergeCell ref="C114:E114"/>
    <mergeCell ref="F114:AB114"/>
    <mergeCell ref="AC114:AF114"/>
    <mergeCell ref="AG114:AJ114"/>
    <mergeCell ref="AK114:AN114"/>
    <mergeCell ref="AO114:AR114"/>
    <mergeCell ref="C115:E115"/>
    <mergeCell ref="F115:AB115"/>
    <mergeCell ref="AC115:AF115"/>
    <mergeCell ref="AG115:AJ115"/>
    <mergeCell ref="AK115:AN115"/>
    <mergeCell ref="AO115:AR115"/>
    <mergeCell ref="C110:E110"/>
    <mergeCell ref="F110:AB110"/>
    <mergeCell ref="AC110:AF110"/>
    <mergeCell ref="AG110:AJ110"/>
    <mergeCell ref="AK110:AN110"/>
    <mergeCell ref="AO110:AR110"/>
    <mergeCell ref="C111:E111"/>
    <mergeCell ref="F111:AB111"/>
    <mergeCell ref="AC111:AF111"/>
    <mergeCell ref="AG111:AJ111"/>
    <mergeCell ref="AK111:AN111"/>
    <mergeCell ref="AO111:AR111"/>
    <mergeCell ref="C112:E112"/>
    <mergeCell ref="F112:AB112"/>
    <mergeCell ref="AC112:AF112"/>
    <mergeCell ref="AG112:AJ112"/>
    <mergeCell ref="AK112:AN112"/>
    <mergeCell ref="AO112:AR112"/>
    <mergeCell ref="C103:X103"/>
    <mergeCell ref="Y103:AN103"/>
    <mergeCell ref="AO103:AR103"/>
    <mergeCell ref="C105:X105"/>
    <mergeCell ref="Y105:AN105"/>
    <mergeCell ref="AO105:AR105"/>
    <mergeCell ref="C106:P106"/>
    <mergeCell ref="Q106:U106"/>
    <mergeCell ref="V106:X106"/>
    <mergeCell ref="Y106:AN106"/>
    <mergeCell ref="AO106:AR106"/>
    <mergeCell ref="C108:E109"/>
    <mergeCell ref="F108:AB109"/>
    <mergeCell ref="AC108:AF109"/>
    <mergeCell ref="AG108:AJ109"/>
    <mergeCell ref="AK108:AN109"/>
    <mergeCell ref="AO108:AR109"/>
    <mergeCell ref="C100:E100"/>
    <mergeCell ref="F100:AB100"/>
    <mergeCell ref="AC100:AF100"/>
    <mergeCell ref="AG100:AJ100"/>
    <mergeCell ref="AK100:AN100"/>
    <mergeCell ref="AO100:AR100"/>
    <mergeCell ref="C101:E101"/>
    <mergeCell ref="F101:AB101"/>
    <mergeCell ref="AC101:AF101"/>
    <mergeCell ref="AG101:AJ101"/>
    <mergeCell ref="AK101:AN101"/>
    <mergeCell ref="AO101:AR101"/>
    <mergeCell ref="C102:X102"/>
    <mergeCell ref="Y102:AF102"/>
    <mergeCell ref="AG102:AJ102"/>
    <mergeCell ref="AK102:AN102"/>
    <mergeCell ref="AO102:AR102"/>
    <mergeCell ref="C97:E97"/>
    <mergeCell ref="F97:AB97"/>
    <mergeCell ref="AC97:AF97"/>
    <mergeCell ref="AG97:AJ97"/>
    <mergeCell ref="AK97:AN97"/>
    <mergeCell ref="AO97:AR97"/>
    <mergeCell ref="C98:E98"/>
    <mergeCell ref="F98:AB98"/>
    <mergeCell ref="AC98:AF98"/>
    <mergeCell ref="AG98:AJ98"/>
    <mergeCell ref="AK98:AN98"/>
    <mergeCell ref="AO98:AR98"/>
    <mergeCell ref="C99:E99"/>
    <mergeCell ref="F99:AB99"/>
    <mergeCell ref="AC99:AF99"/>
    <mergeCell ref="AG99:AJ99"/>
    <mergeCell ref="AK99:AN99"/>
    <mergeCell ref="AO99:AR99"/>
    <mergeCell ref="C94:E94"/>
    <mergeCell ref="F94:AB94"/>
    <mergeCell ref="AC94:AF94"/>
    <mergeCell ref="AG94:AJ94"/>
    <mergeCell ref="AK94:AN94"/>
    <mergeCell ref="AO94:AR94"/>
    <mergeCell ref="C95:E95"/>
    <mergeCell ref="F95:AB95"/>
    <mergeCell ref="AC95:AF95"/>
    <mergeCell ref="AG95:AJ95"/>
    <mergeCell ref="AK95:AN95"/>
    <mergeCell ref="AO95:AR95"/>
    <mergeCell ref="C96:E96"/>
    <mergeCell ref="F96:AB96"/>
    <mergeCell ref="AC96:AF96"/>
    <mergeCell ref="AG96:AJ96"/>
    <mergeCell ref="AK96:AN96"/>
    <mergeCell ref="AO96:AR96"/>
    <mergeCell ref="C89:E89"/>
    <mergeCell ref="F89:U89"/>
    <mergeCell ref="V89:X89"/>
    <mergeCell ref="Y89:AB89"/>
    <mergeCell ref="AC89:AF89"/>
    <mergeCell ref="AG89:AJ89"/>
    <mergeCell ref="AK89:AN89"/>
    <mergeCell ref="AO89:AR89"/>
    <mergeCell ref="C90:X90"/>
    <mergeCell ref="Y90:AN90"/>
    <mergeCell ref="AO90:AR90"/>
    <mergeCell ref="C92:E93"/>
    <mergeCell ref="F92:AB93"/>
    <mergeCell ref="AC92:AF93"/>
    <mergeCell ref="AG92:AJ93"/>
    <mergeCell ref="AK92:AN93"/>
    <mergeCell ref="AO92:AR93"/>
    <mergeCell ref="C86:E86"/>
    <mergeCell ref="F86:U86"/>
    <mergeCell ref="V86:X86"/>
    <mergeCell ref="Y86:AB86"/>
    <mergeCell ref="AC86:AF86"/>
    <mergeCell ref="AG86:AJ86"/>
    <mergeCell ref="AK86:AN86"/>
    <mergeCell ref="AO86:AR86"/>
    <mergeCell ref="C87:E87"/>
    <mergeCell ref="F87:U87"/>
    <mergeCell ref="V87:X87"/>
    <mergeCell ref="Y87:AB87"/>
    <mergeCell ref="AC87:AF87"/>
    <mergeCell ref="AG87:AJ87"/>
    <mergeCell ref="AK87:AN87"/>
    <mergeCell ref="AO87:AR87"/>
    <mergeCell ref="C88:E88"/>
    <mergeCell ref="F88:U88"/>
    <mergeCell ref="V88:X88"/>
    <mergeCell ref="Y88:AB88"/>
    <mergeCell ref="AC88:AF88"/>
    <mergeCell ref="AG88:AJ88"/>
    <mergeCell ref="AK88:AN88"/>
    <mergeCell ref="AO88:AR88"/>
    <mergeCell ref="C83:E83"/>
    <mergeCell ref="F83:U83"/>
    <mergeCell ref="V83:X83"/>
    <mergeCell ref="Y83:AB83"/>
    <mergeCell ref="AC83:AF83"/>
    <mergeCell ref="AG83:AJ83"/>
    <mergeCell ref="AK83:AN83"/>
    <mergeCell ref="AO83:AR83"/>
    <mergeCell ref="C84:E84"/>
    <mergeCell ref="F84:U84"/>
    <mergeCell ref="V84:X84"/>
    <mergeCell ref="Y84:AB84"/>
    <mergeCell ref="AC84:AF84"/>
    <mergeCell ref="AG84:AJ84"/>
    <mergeCell ref="AK84:AN84"/>
    <mergeCell ref="AO84:AR84"/>
    <mergeCell ref="C85:E85"/>
    <mergeCell ref="F85:U85"/>
    <mergeCell ref="V85:X85"/>
    <mergeCell ref="Y85:AB85"/>
    <mergeCell ref="AC85:AF85"/>
    <mergeCell ref="AG85:AJ85"/>
    <mergeCell ref="AK85:AN85"/>
    <mergeCell ref="AO85:AR85"/>
    <mergeCell ref="C80:E81"/>
    <mergeCell ref="F80:U81"/>
    <mergeCell ref="V80:X81"/>
    <mergeCell ref="Y80:AF80"/>
    <mergeCell ref="AG80:AN80"/>
    <mergeCell ref="AO80:AR81"/>
    <mergeCell ref="Y81:AB81"/>
    <mergeCell ref="AC81:AF81"/>
    <mergeCell ref="AG81:AJ81"/>
    <mergeCell ref="AK81:AN81"/>
    <mergeCell ref="C82:E82"/>
    <mergeCell ref="F82:U82"/>
    <mergeCell ref="V82:X82"/>
    <mergeCell ref="Y82:AB82"/>
    <mergeCell ref="AC82:AF82"/>
    <mergeCell ref="AG82:AJ82"/>
    <mergeCell ref="AK82:AN82"/>
    <mergeCell ref="AO82:AR82"/>
    <mergeCell ref="C68:H68"/>
    <mergeCell ref="I68:J68"/>
    <mergeCell ref="K68:Z68"/>
    <mergeCell ref="AA68:AB68"/>
    <mergeCell ref="AC68:AR68"/>
    <mergeCell ref="C70:F70"/>
    <mergeCell ref="G70:AA70"/>
    <mergeCell ref="AB70:AI73"/>
    <mergeCell ref="AJ70:AR73"/>
    <mergeCell ref="C71:F71"/>
    <mergeCell ref="G71:AA71"/>
    <mergeCell ref="C72:F72"/>
    <mergeCell ref="G72:AA72"/>
    <mergeCell ref="C73:AA73"/>
    <mergeCell ref="C75:AR76"/>
    <mergeCell ref="C77:F78"/>
    <mergeCell ref="G77:J78"/>
    <mergeCell ref="K77:N78"/>
    <mergeCell ref="O77:AK78"/>
    <mergeCell ref="AL77:AO78"/>
    <mergeCell ref="AP77:AR78"/>
    <mergeCell ref="C64:H64"/>
    <mergeCell ref="I64:J64"/>
    <mergeCell ref="K64:Z64"/>
    <mergeCell ref="AA64:AB64"/>
    <mergeCell ref="AC64:AR64"/>
    <mergeCell ref="C65:H65"/>
    <mergeCell ref="I65:J65"/>
    <mergeCell ref="K65:Z65"/>
    <mergeCell ref="AA65:AB65"/>
    <mergeCell ref="AC65:AR65"/>
    <mergeCell ref="C66:H66"/>
    <mergeCell ref="I66:J66"/>
    <mergeCell ref="K66:Z66"/>
    <mergeCell ref="AA66:AB66"/>
    <mergeCell ref="AC66:AR66"/>
    <mergeCell ref="C67:H67"/>
    <mergeCell ref="I67:J67"/>
    <mergeCell ref="K67:Z67"/>
    <mergeCell ref="AA67:AB67"/>
    <mergeCell ref="AC67:AR67"/>
    <mergeCell ref="C57:X57"/>
    <mergeCell ref="Y57:AN57"/>
    <mergeCell ref="AO57:AR57"/>
    <mergeCell ref="C59:X61"/>
    <mergeCell ref="Y59:AN59"/>
    <mergeCell ref="AO59:AR59"/>
    <mergeCell ref="Y60:AG60"/>
    <mergeCell ref="AH60:AN60"/>
    <mergeCell ref="AO60:AR60"/>
    <mergeCell ref="A61:B61"/>
    <mergeCell ref="Y61:AN61"/>
    <mergeCell ref="AO61:AR61"/>
    <mergeCell ref="C63:H63"/>
    <mergeCell ref="I63:J63"/>
    <mergeCell ref="K63:Z63"/>
    <mergeCell ref="AA63:AB63"/>
    <mergeCell ref="AC63:AR63"/>
    <mergeCell ref="C55:E55"/>
    <mergeCell ref="F55:R55"/>
    <mergeCell ref="S55:U55"/>
    <mergeCell ref="V55:X55"/>
    <mergeCell ref="Y55:AD55"/>
    <mergeCell ref="AE55:AG55"/>
    <mergeCell ref="AH55:AJ55"/>
    <mergeCell ref="AK55:AN55"/>
    <mergeCell ref="AO55:AR55"/>
    <mergeCell ref="C56:E56"/>
    <mergeCell ref="F56:R56"/>
    <mergeCell ref="S56:U56"/>
    <mergeCell ref="V56:X56"/>
    <mergeCell ref="Y56:AD56"/>
    <mergeCell ref="AE56:AG56"/>
    <mergeCell ref="AH56:AJ56"/>
    <mergeCell ref="AK56:AN56"/>
    <mergeCell ref="AO56:AR56"/>
    <mergeCell ref="C53:E53"/>
    <mergeCell ref="F53:R53"/>
    <mergeCell ref="S53:U53"/>
    <mergeCell ref="V53:X53"/>
    <mergeCell ref="Y53:AD53"/>
    <mergeCell ref="AE53:AG53"/>
    <mergeCell ref="AH53:AJ53"/>
    <mergeCell ref="AK53:AN53"/>
    <mergeCell ref="AO53:AR53"/>
    <mergeCell ref="C54:E54"/>
    <mergeCell ref="F54:R54"/>
    <mergeCell ref="S54:U54"/>
    <mergeCell ref="V54:X54"/>
    <mergeCell ref="Y54:AD54"/>
    <mergeCell ref="AE54:AG54"/>
    <mergeCell ref="AH54:AJ54"/>
    <mergeCell ref="AK54:AN54"/>
    <mergeCell ref="AO54:AR54"/>
    <mergeCell ref="C51:E51"/>
    <mergeCell ref="F51:R51"/>
    <mergeCell ref="S51:U51"/>
    <mergeCell ref="V51:X51"/>
    <mergeCell ref="Y51:AD51"/>
    <mergeCell ref="AE51:AG51"/>
    <mergeCell ref="AH51:AJ51"/>
    <mergeCell ref="AK51:AN51"/>
    <mergeCell ref="AO51:AR51"/>
    <mergeCell ref="C52:E52"/>
    <mergeCell ref="F52:R52"/>
    <mergeCell ref="S52:U52"/>
    <mergeCell ref="V52:X52"/>
    <mergeCell ref="Y52:AD52"/>
    <mergeCell ref="AE52:AG52"/>
    <mergeCell ref="AH52:AJ52"/>
    <mergeCell ref="AK52:AN52"/>
    <mergeCell ref="AO52:AR52"/>
    <mergeCell ref="C49:E49"/>
    <mergeCell ref="F49:R49"/>
    <mergeCell ref="S49:U49"/>
    <mergeCell ref="V49:X49"/>
    <mergeCell ref="Y49:AD49"/>
    <mergeCell ref="AE49:AG49"/>
    <mergeCell ref="AH49:AJ49"/>
    <mergeCell ref="AK49:AN49"/>
    <mergeCell ref="AO49:AR49"/>
    <mergeCell ref="C50:E50"/>
    <mergeCell ref="F50:R50"/>
    <mergeCell ref="S50:U50"/>
    <mergeCell ref="V50:X50"/>
    <mergeCell ref="Y50:AD50"/>
    <mergeCell ref="AE50:AG50"/>
    <mergeCell ref="AH50:AJ50"/>
    <mergeCell ref="AK50:AN50"/>
    <mergeCell ref="AO50:AR50"/>
    <mergeCell ref="C43:E43"/>
    <mergeCell ref="F43:AB43"/>
    <mergeCell ref="AC43:AF43"/>
    <mergeCell ref="AG43:AJ43"/>
    <mergeCell ref="AK43:AN43"/>
    <mergeCell ref="AO43:AR43"/>
    <mergeCell ref="C44:E44"/>
    <mergeCell ref="F44:AB44"/>
    <mergeCell ref="AC44:AF44"/>
    <mergeCell ref="AG44:AJ44"/>
    <mergeCell ref="AK44:AN44"/>
    <mergeCell ref="AO44:AR44"/>
    <mergeCell ref="C45:X45"/>
    <mergeCell ref="Y45:AN45"/>
    <mergeCell ref="AO45:AR45"/>
    <mergeCell ref="C47:E48"/>
    <mergeCell ref="F47:R48"/>
    <mergeCell ref="S47:U48"/>
    <mergeCell ref="V47:X48"/>
    <mergeCell ref="Y47:AD48"/>
    <mergeCell ref="AE47:AG48"/>
    <mergeCell ref="AH47:AJ48"/>
    <mergeCell ref="AK47:AN48"/>
    <mergeCell ref="AO47:AR48"/>
    <mergeCell ref="C40:E40"/>
    <mergeCell ref="F40:AB40"/>
    <mergeCell ref="AC40:AF40"/>
    <mergeCell ref="AG40:AJ40"/>
    <mergeCell ref="AK40:AN40"/>
    <mergeCell ref="AO40:AR40"/>
    <mergeCell ref="C41:E41"/>
    <mergeCell ref="F41:AB41"/>
    <mergeCell ref="AC41:AF41"/>
    <mergeCell ref="AG41:AJ41"/>
    <mergeCell ref="AK41:AN41"/>
    <mergeCell ref="AO41:AR41"/>
    <mergeCell ref="C42:E42"/>
    <mergeCell ref="F42:AB42"/>
    <mergeCell ref="AC42:AF42"/>
    <mergeCell ref="AG42:AJ42"/>
    <mergeCell ref="AK42:AN42"/>
    <mergeCell ref="AO42:AR42"/>
    <mergeCell ref="C37:E37"/>
    <mergeCell ref="F37:AB37"/>
    <mergeCell ref="AC37:AF37"/>
    <mergeCell ref="AG37:AJ37"/>
    <mergeCell ref="AK37:AN37"/>
    <mergeCell ref="AO37:AR37"/>
    <mergeCell ref="C38:E38"/>
    <mergeCell ref="F38:AB38"/>
    <mergeCell ref="AC38:AF38"/>
    <mergeCell ref="AG38:AJ38"/>
    <mergeCell ref="AK38:AN38"/>
    <mergeCell ref="AO38:AR38"/>
    <mergeCell ref="C39:E39"/>
    <mergeCell ref="F39:AB39"/>
    <mergeCell ref="AC39:AF39"/>
    <mergeCell ref="AG39:AJ39"/>
    <mergeCell ref="AK39:AN39"/>
    <mergeCell ref="AO39:AR39"/>
    <mergeCell ref="C30:X30"/>
    <mergeCell ref="Y30:AN30"/>
    <mergeCell ref="AO30:AR30"/>
    <mergeCell ref="C32:X32"/>
    <mergeCell ref="Y32:AN32"/>
    <mergeCell ref="AO32:AR32"/>
    <mergeCell ref="C33:P33"/>
    <mergeCell ref="Q33:U33"/>
    <mergeCell ref="V33:X33"/>
    <mergeCell ref="Y33:AN33"/>
    <mergeCell ref="AO33:AR33"/>
    <mergeCell ref="C35:E36"/>
    <mergeCell ref="F35:AB36"/>
    <mergeCell ref="AC35:AF36"/>
    <mergeCell ref="AG35:AJ36"/>
    <mergeCell ref="AK35:AN36"/>
    <mergeCell ref="AO35:AR36"/>
    <mergeCell ref="C27:E27"/>
    <mergeCell ref="F27:AB27"/>
    <mergeCell ref="AC27:AF27"/>
    <mergeCell ref="AG27:AJ27"/>
    <mergeCell ref="AK27:AN27"/>
    <mergeCell ref="AO27:AR27"/>
    <mergeCell ref="C28:E28"/>
    <mergeCell ref="F28:AB28"/>
    <mergeCell ref="AC28:AF28"/>
    <mergeCell ref="AG28:AJ28"/>
    <mergeCell ref="AK28:AN28"/>
    <mergeCell ref="AO28:AR28"/>
    <mergeCell ref="C29:X29"/>
    <mergeCell ref="Y29:AF29"/>
    <mergeCell ref="AG29:AJ29"/>
    <mergeCell ref="AK29:AN29"/>
    <mergeCell ref="AO29:AR29"/>
    <mergeCell ref="C24:E24"/>
    <mergeCell ref="F24:AB24"/>
    <mergeCell ref="AC24:AF24"/>
    <mergeCell ref="AG24:AJ24"/>
    <mergeCell ref="AK24:AN24"/>
    <mergeCell ref="AO24:AR24"/>
    <mergeCell ref="C25:E25"/>
    <mergeCell ref="F25:AB25"/>
    <mergeCell ref="AC25:AF25"/>
    <mergeCell ref="AG25:AJ25"/>
    <mergeCell ref="AK25:AN25"/>
    <mergeCell ref="AO25:AR25"/>
    <mergeCell ref="C26:E26"/>
    <mergeCell ref="F26:AB26"/>
    <mergeCell ref="AC26:AF26"/>
    <mergeCell ref="AG26:AJ26"/>
    <mergeCell ref="AK26:AN26"/>
    <mergeCell ref="AO26:AR26"/>
    <mergeCell ref="C21:E21"/>
    <mergeCell ref="F21:AB21"/>
    <mergeCell ref="AC21:AF21"/>
    <mergeCell ref="AG21:AJ21"/>
    <mergeCell ref="AK21:AN21"/>
    <mergeCell ref="AO21:AR21"/>
    <mergeCell ref="C22:E22"/>
    <mergeCell ref="F22:AB22"/>
    <mergeCell ref="AC22:AF22"/>
    <mergeCell ref="AG22:AJ22"/>
    <mergeCell ref="AK22:AN22"/>
    <mergeCell ref="AO22:AR22"/>
    <mergeCell ref="C23:E23"/>
    <mergeCell ref="F23:AB23"/>
    <mergeCell ref="AC23:AF23"/>
    <mergeCell ref="AG23:AJ23"/>
    <mergeCell ref="AK23:AN23"/>
    <mergeCell ref="AO23:AR23"/>
    <mergeCell ref="C16:E16"/>
    <mergeCell ref="F16:U16"/>
    <mergeCell ref="V16:X16"/>
    <mergeCell ref="Y16:AB16"/>
    <mergeCell ref="AC16:AF16"/>
    <mergeCell ref="AG16:AJ16"/>
    <mergeCell ref="AK16:AN16"/>
    <mergeCell ref="AO16:AR16"/>
    <mergeCell ref="C17:X17"/>
    <mergeCell ref="Y17:AN17"/>
    <mergeCell ref="AO17:AR17"/>
    <mergeCell ref="C19:E20"/>
    <mergeCell ref="F19:AB20"/>
    <mergeCell ref="AC19:AF20"/>
    <mergeCell ref="AG19:AJ20"/>
    <mergeCell ref="AK19:AN20"/>
    <mergeCell ref="AO19:AR20"/>
    <mergeCell ref="C13:E13"/>
    <mergeCell ref="F13:U13"/>
    <mergeCell ref="V13:X13"/>
    <mergeCell ref="Y13:AB13"/>
    <mergeCell ref="AC13:AF13"/>
    <mergeCell ref="AG13:AJ13"/>
    <mergeCell ref="AK13:AN13"/>
    <mergeCell ref="AO13:AR13"/>
    <mergeCell ref="C14:E14"/>
    <mergeCell ref="F14:U14"/>
    <mergeCell ref="V14:X14"/>
    <mergeCell ref="Y14:AB14"/>
    <mergeCell ref="AC14:AF14"/>
    <mergeCell ref="AG14:AJ14"/>
    <mergeCell ref="AK14:AN14"/>
    <mergeCell ref="AO14:AR14"/>
    <mergeCell ref="C15:E15"/>
    <mergeCell ref="F15:U15"/>
    <mergeCell ref="V15:X15"/>
    <mergeCell ref="Y15:AB15"/>
    <mergeCell ref="AC15:AF15"/>
    <mergeCell ref="AG15:AJ15"/>
    <mergeCell ref="AK15:AN15"/>
    <mergeCell ref="AO15:AR15"/>
    <mergeCell ref="C10:E10"/>
    <mergeCell ref="F10:U10"/>
    <mergeCell ref="V10:X10"/>
    <mergeCell ref="Y10:AB10"/>
    <mergeCell ref="AC10:AF10"/>
    <mergeCell ref="AG10:AJ10"/>
    <mergeCell ref="AK10:AN10"/>
    <mergeCell ref="AO10:AR10"/>
    <mergeCell ref="C11:E11"/>
    <mergeCell ref="F11:U11"/>
    <mergeCell ref="V11:X11"/>
    <mergeCell ref="Y11:AB11"/>
    <mergeCell ref="AC11:AF11"/>
    <mergeCell ref="AG11:AJ11"/>
    <mergeCell ref="AK11:AN11"/>
    <mergeCell ref="AO11:AR11"/>
    <mergeCell ref="C12:E12"/>
    <mergeCell ref="F12:U12"/>
    <mergeCell ref="V12:X12"/>
    <mergeCell ref="Y12:AB12"/>
    <mergeCell ref="AC12:AF12"/>
    <mergeCell ref="AG12:AJ12"/>
    <mergeCell ref="AK12:AN12"/>
    <mergeCell ref="AO12:AR12"/>
    <mergeCell ref="C732:AR733"/>
    <mergeCell ref="C734:F735"/>
    <mergeCell ref="G734:J735"/>
    <mergeCell ref="K734:N735"/>
    <mergeCell ref="O734:AK735"/>
    <mergeCell ref="AL734:AO735"/>
    <mergeCell ref="AP734:AR735"/>
    <mergeCell ref="C2:AR3"/>
    <mergeCell ref="C4:F5"/>
    <mergeCell ref="G4:J5"/>
    <mergeCell ref="K4:N5"/>
    <mergeCell ref="O4:AK5"/>
    <mergeCell ref="AL4:AO5"/>
    <mergeCell ref="AP4:AR5"/>
    <mergeCell ref="C7:E8"/>
    <mergeCell ref="F7:U8"/>
    <mergeCell ref="V7:X8"/>
    <mergeCell ref="Y7:AF7"/>
    <mergeCell ref="AG7:AN7"/>
    <mergeCell ref="AO7:AR8"/>
    <mergeCell ref="Y8:AB8"/>
    <mergeCell ref="AC8:AF8"/>
    <mergeCell ref="AG8:AJ8"/>
    <mergeCell ref="AK8:AN8"/>
    <mergeCell ref="C9:E9"/>
    <mergeCell ref="F9:U9"/>
    <mergeCell ref="V9:X9"/>
    <mergeCell ref="Y9:AB9"/>
    <mergeCell ref="AC9:AF9"/>
    <mergeCell ref="AG9:AJ9"/>
    <mergeCell ref="AK9:AN9"/>
    <mergeCell ref="AO9:AR9"/>
    <mergeCell ref="AK739:AN739"/>
    <mergeCell ref="AO739:AR739"/>
    <mergeCell ref="C740:E740"/>
    <mergeCell ref="F740:U740"/>
    <mergeCell ref="V740:X740"/>
    <mergeCell ref="Y740:AB740"/>
    <mergeCell ref="AC740:AF740"/>
    <mergeCell ref="AG740:AJ740"/>
    <mergeCell ref="AK740:AN740"/>
    <mergeCell ref="AO740:AR740"/>
    <mergeCell ref="C739:E739"/>
    <mergeCell ref="F739:U739"/>
    <mergeCell ref="V739:X739"/>
    <mergeCell ref="Y739:AB739"/>
    <mergeCell ref="AC739:AF739"/>
    <mergeCell ref="AG739:AJ739"/>
    <mergeCell ref="C737:E738"/>
    <mergeCell ref="F737:U738"/>
    <mergeCell ref="V737:X738"/>
    <mergeCell ref="Y737:AF737"/>
    <mergeCell ref="AG737:AN737"/>
    <mergeCell ref="AO737:AR738"/>
    <mergeCell ref="Y738:AB738"/>
    <mergeCell ref="AC738:AF738"/>
    <mergeCell ref="AG738:AJ738"/>
    <mergeCell ref="AK738:AN738"/>
    <mergeCell ref="AK743:AN743"/>
    <mergeCell ref="AO743:AR743"/>
    <mergeCell ref="C744:E744"/>
    <mergeCell ref="F744:U744"/>
    <mergeCell ref="V744:X744"/>
    <mergeCell ref="Y744:AB744"/>
    <mergeCell ref="AC744:AF744"/>
    <mergeCell ref="AG744:AJ744"/>
    <mergeCell ref="AK744:AN744"/>
    <mergeCell ref="AO744:AR744"/>
    <mergeCell ref="C743:E743"/>
    <mergeCell ref="F743:U743"/>
    <mergeCell ref="V743:X743"/>
    <mergeCell ref="Y743:AB743"/>
    <mergeCell ref="AC743:AF743"/>
    <mergeCell ref="AG743:AJ743"/>
    <mergeCell ref="AK741:AN741"/>
    <mergeCell ref="AO741:AR741"/>
    <mergeCell ref="C742:E742"/>
    <mergeCell ref="F742:U742"/>
    <mergeCell ref="V742:X742"/>
    <mergeCell ref="Y742:AB742"/>
    <mergeCell ref="AC742:AF742"/>
    <mergeCell ref="AG742:AJ742"/>
    <mergeCell ref="AK742:AN742"/>
    <mergeCell ref="AO742:AR742"/>
    <mergeCell ref="C741:E741"/>
    <mergeCell ref="F741:U741"/>
    <mergeCell ref="V741:X741"/>
    <mergeCell ref="Y741:AB741"/>
    <mergeCell ref="AC741:AF741"/>
    <mergeCell ref="AG741:AJ741"/>
    <mergeCell ref="C751:E751"/>
    <mergeCell ref="F751:AB751"/>
    <mergeCell ref="AC751:AF751"/>
    <mergeCell ref="AG751:AJ751"/>
    <mergeCell ref="AK751:AN751"/>
    <mergeCell ref="AO751:AR751"/>
    <mergeCell ref="C747:X747"/>
    <mergeCell ref="Y747:AN747"/>
    <mergeCell ref="AO747:AR747"/>
    <mergeCell ref="C749:E750"/>
    <mergeCell ref="F749:AB750"/>
    <mergeCell ref="AC749:AF750"/>
    <mergeCell ref="AG749:AJ750"/>
    <mergeCell ref="AK749:AN750"/>
    <mergeCell ref="AO749:AR750"/>
    <mergeCell ref="AK745:AN745"/>
    <mergeCell ref="AO745:AR745"/>
    <mergeCell ref="C746:E746"/>
    <mergeCell ref="F746:U746"/>
    <mergeCell ref="V746:X746"/>
    <mergeCell ref="Y746:AB746"/>
    <mergeCell ref="AC746:AF746"/>
    <mergeCell ref="AG746:AJ746"/>
    <mergeCell ref="AK746:AN746"/>
    <mergeCell ref="AO746:AR746"/>
    <mergeCell ref="C745:E745"/>
    <mergeCell ref="F745:U745"/>
    <mergeCell ref="V745:X745"/>
    <mergeCell ref="Y745:AB745"/>
    <mergeCell ref="AC745:AF745"/>
    <mergeCell ref="AG745:AJ745"/>
    <mergeCell ref="C754:E754"/>
    <mergeCell ref="F754:AB754"/>
    <mergeCell ref="AC754:AF754"/>
    <mergeCell ref="AG754:AJ754"/>
    <mergeCell ref="AK754:AN754"/>
    <mergeCell ref="AO754:AR754"/>
    <mergeCell ref="C753:E753"/>
    <mergeCell ref="F753:AB753"/>
    <mergeCell ref="AC753:AF753"/>
    <mergeCell ref="AG753:AJ753"/>
    <mergeCell ref="AK753:AN753"/>
    <mergeCell ref="AO753:AR753"/>
    <mergeCell ref="C752:E752"/>
    <mergeCell ref="F752:AB752"/>
    <mergeCell ref="AC752:AF752"/>
    <mergeCell ref="AG752:AJ752"/>
    <mergeCell ref="AK752:AN752"/>
    <mergeCell ref="AO752:AR752"/>
    <mergeCell ref="C757:E757"/>
    <mergeCell ref="F757:AB757"/>
    <mergeCell ref="AC757:AF757"/>
    <mergeCell ref="AG757:AJ757"/>
    <mergeCell ref="AK757:AN757"/>
    <mergeCell ref="AO757:AR757"/>
    <mergeCell ref="C756:E756"/>
    <mergeCell ref="F756:AB756"/>
    <mergeCell ref="AC756:AF756"/>
    <mergeCell ref="AG756:AJ756"/>
    <mergeCell ref="AK756:AN756"/>
    <mergeCell ref="AO756:AR756"/>
    <mergeCell ref="C755:E755"/>
    <mergeCell ref="F755:AB755"/>
    <mergeCell ref="AC755:AF755"/>
    <mergeCell ref="AG755:AJ755"/>
    <mergeCell ref="AK755:AN755"/>
    <mergeCell ref="AO755:AR755"/>
    <mergeCell ref="C762:X762"/>
    <mergeCell ref="Y762:AN762"/>
    <mergeCell ref="AO762:AR762"/>
    <mergeCell ref="C763:P763"/>
    <mergeCell ref="Q763:U763"/>
    <mergeCell ref="V763:X763"/>
    <mergeCell ref="Y763:AN763"/>
    <mergeCell ref="AO763:AR763"/>
    <mergeCell ref="C759:X759"/>
    <mergeCell ref="Y759:AF759"/>
    <mergeCell ref="AG759:AJ759"/>
    <mergeCell ref="AK759:AN759"/>
    <mergeCell ref="AO759:AR759"/>
    <mergeCell ref="C760:X760"/>
    <mergeCell ref="Y760:AN760"/>
    <mergeCell ref="AO760:AR760"/>
    <mergeCell ref="C758:E758"/>
    <mergeCell ref="F758:AB758"/>
    <mergeCell ref="AC758:AF758"/>
    <mergeCell ref="AG758:AJ758"/>
    <mergeCell ref="AK758:AN758"/>
    <mergeCell ref="AO758:AR758"/>
    <mergeCell ref="C768:E768"/>
    <mergeCell ref="F768:AB768"/>
    <mergeCell ref="AC768:AF768"/>
    <mergeCell ref="AG768:AJ768"/>
    <mergeCell ref="AK768:AN768"/>
    <mergeCell ref="AO768:AR768"/>
    <mergeCell ref="C767:E767"/>
    <mergeCell ref="F767:AB767"/>
    <mergeCell ref="AC767:AF767"/>
    <mergeCell ref="AG767:AJ767"/>
    <mergeCell ref="AK767:AN767"/>
    <mergeCell ref="AO767:AR767"/>
    <mergeCell ref="C765:E766"/>
    <mergeCell ref="F765:AB766"/>
    <mergeCell ref="AC765:AF766"/>
    <mergeCell ref="AG765:AJ766"/>
    <mergeCell ref="AK765:AN766"/>
    <mergeCell ref="AO765:AR766"/>
    <mergeCell ref="C771:E771"/>
    <mergeCell ref="F771:AB771"/>
    <mergeCell ref="AC771:AF771"/>
    <mergeCell ref="AG771:AJ771"/>
    <mergeCell ref="AK771:AN771"/>
    <mergeCell ref="AO771:AR771"/>
    <mergeCell ref="C770:E770"/>
    <mergeCell ref="F770:AB770"/>
    <mergeCell ref="AC770:AF770"/>
    <mergeCell ref="AG770:AJ770"/>
    <mergeCell ref="AK770:AN770"/>
    <mergeCell ref="AO770:AR770"/>
    <mergeCell ref="C769:E769"/>
    <mergeCell ref="F769:AB769"/>
    <mergeCell ref="AC769:AF769"/>
    <mergeCell ref="AG769:AJ769"/>
    <mergeCell ref="AK769:AN769"/>
    <mergeCell ref="AO769:AR769"/>
    <mergeCell ref="C774:E774"/>
    <mergeCell ref="F774:AB774"/>
    <mergeCell ref="AC774:AF774"/>
    <mergeCell ref="AG774:AJ774"/>
    <mergeCell ref="AK774:AN774"/>
    <mergeCell ref="AO774:AR774"/>
    <mergeCell ref="C773:E773"/>
    <mergeCell ref="F773:AB773"/>
    <mergeCell ref="AC773:AF773"/>
    <mergeCell ref="AG773:AJ773"/>
    <mergeCell ref="AK773:AN773"/>
    <mergeCell ref="AO773:AR773"/>
    <mergeCell ref="C772:E772"/>
    <mergeCell ref="F772:AB772"/>
    <mergeCell ref="AC772:AF772"/>
    <mergeCell ref="AG772:AJ772"/>
    <mergeCell ref="AK772:AN772"/>
    <mergeCell ref="AO772:AR772"/>
    <mergeCell ref="AK777:AN778"/>
    <mergeCell ref="AO777:AR778"/>
    <mergeCell ref="C779:E779"/>
    <mergeCell ref="F779:R779"/>
    <mergeCell ref="S779:U779"/>
    <mergeCell ref="V779:X779"/>
    <mergeCell ref="Y779:AD779"/>
    <mergeCell ref="AE779:AG779"/>
    <mergeCell ref="AH779:AJ779"/>
    <mergeCell ref="AK779:AN779"/>
    <mergeCell ref="C775:X775"/>
    <mergeCell ref="Y775:AN775"/>
    <mergeCell ref="AO775:AR775"/>
    <mergeCell ref="C777:E778"/>
    <mergeCell ref="F777:R778"/>
    <mergeCell ref="S777:U778"/>
    <mergeCell ref="V777:X778"/>
    <mergeCell ref="Y777:AD778"/>
    <mergeCell ref="AE777:AG778"/>
    <mergeCell ref="AH777:AJ778"/>
    <mergeCell ref="AH781:AJ781"/>
    <mergeCell ref="AK781:AN781"/>
    <mergeCell ref="AO781:AR781"/>
    <mergeCell ref="C782:E782"/>
    <mergeCell ref="F782:R782"/>
    <mergeCell ref="S782:U782"/>
    <mergeCell ref="V782:X782"/>
    <mergeCell ref="Y782:AD782"/>
    <mergeCell ref="AE782:AG782"/>
    <mergeCell ref="AH782:AJ782"/>
    <mergeCell ref="C781:E781"/>
    <mergeCell ref="F781:R781"/>
    <mergeCell ref="S781:U781"/>
    <mergeCell ref="V781:X781"/>
    <mergeCell ref="Y781:AD781"/>
    <mergeCell ref="AE781:AG781"/>
    <mergeCell ref="AO779:AR779"/>
    <mergeCell ref="C780:E780"/>
    <mergeCell ref="F780:R780"/>
    <mergeCell ref="S780:U780"/>
    <mergeCell ref="V780:X780"/>
    <mergeCell ref="Y780:AD780"/>
    <mergeCell ref="AE780:AG780"/>
    <mergeCell ref="AH780:AJ780"/>
    <mergeCell ref="AK780:AN780"/>
    <mergeCell ref="AO780:AR780"/>
    <mergeCell ref="AO783:AR783"/>
    <mergeCell ref="C784:E784"/>
    <mergeCell ref="F784:R784"/>
    <mergeCell ref="S784:U784"/>
    <mergeCell ref="V784:X784"/>
    <mergeCell ref="Y784:AD784"/>
    <mergeCell ref="AE784:AG784"/>
    <mergeCell ref="AH784:AJ784"/>
    <mergeCell ref="AK784:AN784"/>
    <mergeCell ref="AO784:AR784"/>
    <mergeCell ref="AK782:AN782"/>
    <mergeCell ref="AO782:AR782"/>
    <mergeCell ref="C783:E783"/>
    <mergeCell ref="F783:R783"/>
    <mergeCell ref="S783:U783"/>
    <mergeCell ref="V783:X783"/>
    <mergeCell ref="Y783:AD783"/>
    <mergeCell ref="AE783:AG783"/>
    <mergeCell ref="AH783:AJ783"/>
    <mergeCell ref="AK783:AN783"/>
    <mergeCell ref="AK786:AN786"/>
    <mergeCell ref="AO786:AR786"/>
    <mergeCell ref="C787:X787"/>
    <mergeCell ref="Y787:AN787"/>
    <mergeCell ref="AO787:AR787"/>
    <mergeCell ref="C789:X791"/>
    <mergeCell ref="Y789:AN789"/>
    <mergeCell ref="AO789:AR789"/>
    <mergeCell ref="Y790:AG790"/>
    <mergeCell ref="AH790:AN790"/>
    <mergeCell ref="AH785:AJ785"/>
    <mergeCell ref="AK785:AN785"/>
    <mergeCell ref="AO785:AR785"/>
    <mergeCell ref="C786:E786"/>
    <mergeCell ref="F786:R786"/>
    <mergeCell ref="S786:U786"/>
    <mergeCell ref="V786:X786"/>
    <mergeCell ref="Y786:AD786"/>
    <mergeCell ref="AE786:AG786"/>
    <mergeCell ref="AH786:AJ786"/>
    <mergeCell ref="C785:E785"/>
    <mergeCell ref="F785:R785"/>
    <mergeCell ref="S785:U785"/>
    <mergeCell ref="V785:X785"/>
    <mergeCell ref="Y785:AD785"/>
    <mergeCell ref="AE785:AG785"/>
    <mergeCell ref="C794:H794"/>
    <mergeCell ref="I794:J794"/>
    <mergeCell ref="K794:Z794"/>
    <mergeCell ref="AA794:AB794"/>
    <mergeCell ref="AC794:AR794"/>
    <mergeCell ref="C795:H795"/>
    <mergeCell ref="I795:J795"/>
    <mergeCell ref="K795:Z795"/>
    <mergeCell ref="AA795:AB795"/>
    <mergeCell ref="AC795:AR795"/>
    <mergeCell ref="AO790:AR790"/>
    <mergeCell ref="A791:B791"/>
    <mergeCell ref="Y791:AN791"/>
    <mergeCell ref="AO791:AR791"/>
    <mergeCell ref="C793:H793"/>
    <mergeCell ref="I793:J793"/>
    <mergeCell ref="K793:Z793"/>
    <mergeCell ref="AA793:AB793"/>
    <mergeCell ref="AC793:AR793"/>
    <mergeCell ref="C798:H798"/>
    <mergeCell ref="I798:J798"/>
    <mergeCell ref="K798:Z798"/>
    <mergeCell ref="AA798:AB798"/>
    <mergeCell ref="AC798:AR798"/>
    <mergeCell ref="C800:F800"/>
    <mergeCell ref="G800:AA800"/>
    <mergeCell ref="AB800:AI803"/>
    <mergeCell ref="AJ800:AR803"/>
    <mergeCell ref="C801:F801"/>
    <mergeCell ref="G801:AA801"/>
    <mergeCell ref="C802:F802"/>
    <mergeCell ref="G802:AA802"/>
    <mergeCell ref="C803:AA803"/>
    <mergeCell ref="AC796:AR796"/>
    <mergeCell ref="C797:H797"/>
    <mergeCell ref="I797:J797"/>
    <mergeCell ref="K797:Z797"/>
    <mergeCell ref="AA797:AB797"/>
    <mergeCell ref="AC797:AR797"/>
    <mergeCell ref="C796:H796"/>
    <mergeCell ref="I796:J796"/>
    <mergeCell ref="K796:Z796"/>
    <mergeCell ref="AA796:AB796"/>
  </mergeCells>
  <printOptions horizontalCentered="1" verticalCentered="1"/>
  <pageMargins left="0.78740157480314965" right="0.59055118110236227" top="0.78740157480314965" bottom="0.39370078740157483" header="0" footer="0"/>
  <pageSetup paperSize="9" scale="51" orientation="portrait" horizontalDpi="4294967294" verticalDpi="300" r:id="rId1"/>
  <headerFooter alignWithMargins="0"/>
  <rowBreaks count="10" manualBreakCount="10">
    <brk id="73" min="2" max="43" man="1"/>
    <brk id="146" min="2" max="43" man="1"/>
    <brk id="219" min="2" max="43" man="1"/>
    <brk id="292" min="2" max="43" man="1"/>
    <brk id="365" min="2" max="43" man="1"/>
    <brk id="438" min="2" max="43" man="1"/>
    <brk id="511" min="2" max="43" man="1"/>
    <brk id="584" min="2" max="43" man="1"/>
    <brk id="657" min="2" max="43" man="1"/>
    <brk id="730" min="2" max="4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2:BI219"/>
  <sheetViews>
    <sheetView showGridLines="0" showZeros="0" view="pageBreakPreview" zoomScale="60" zoomScaleNormal="67" zoomScaleSheetLayoutView="67" workbookViewId="0">
      <selection activeCell="AB216" sqref="AB216:AI219"/>
    </sheetView>
  </sheetViews>
  <sheetFormatPr defaultColWidth="3.7109375" defaultRowHeight="18" customHeight="1"/>
  <cols>
    <col min="1" max="2" width="9.140625" style="7" customWidth="1"/>
    <col min="3" max="5" width="5.42578125" style="7" customWidth="1"/>
    <col min="6" max="20" width="3.7109375" style="7" customWidth="1"/>
    <col min="21" max="21" width="3.42578125" style="7" customWidth="1"/>
    <col min="22" max="29" width="3.7109375" style="7" customWidth="1"/>
    <col min="30" max="30" width="3.5703125" style="7" customWidth="1"/>
    <col min="31" max="31" width="4.7109375" style="7" customWidth="1"/>
    <col min="32" max="32" width="3.85546875" style="7" customWidth="1"/>
    <col min="33" max="33" width="4.28515625" style="7" customWidth="1"/>
    <col min="34" max="36" width="3.85546875" style="7" customWidth="1"/>
    <col min="37" max="40" width="3.42578125" style="7" customWidth="1"/>
    <col min="41" max="48" width="3.7109375" style="7"/>
    <col min="49" max="49" width="11.5703125" style="7" bestFit="1" customWidth="1"/>
    <col min="50" max="16384" width="3.7109375" style="7"/>
  </cols>
  <sheetData>
    <row r="2" spans="3:44" ht="18" customHeight="1">
      <c r="C2" s="850" t="s">
        <v>64</v>
      </c>
      <c r="D2" s="851"/>
      <c r="E2" s="851"/>
      <c r="F2" s="851"/>
      <c r="G2" s="851"/>
      <c r="H2" s="851"/>
      <c r="I2" s="851"/>
      <c r="J2" s="851"/>
      <c r="K2" s="851"/>
      <c r="L2" s="851"/>
      <c r="M2" s="851"/>
      <c r="N2" s="851"/>
      <c r="O2" s="851"/>
      <c r="P2" s="851"/>
      <c r="Q2" s="851"/>
      <c r="R2" s="851"/>
      <c r="S2" s="851"/>
      <c r="T2" s="851"/>
      <c r="U2" s="851"/>
      <c r="V2" s="851"/>
      <c r="W2" s="851"/>
      <c r="X2" s="851"/>
      <c r="Y2" s="851"/>
      <c r="Z2" s="851"/>
      <c r="AA2" s="851"/>
      <c r="AB2" s="851"/>
      <c r="AC2" s="851"/>
      <c r="AD2" s="851"/>
      <c r="AE2" s="851"/>
      <c r="AF2" s="851"/>
      <c r="AG2" s="851"/>
      <c r="AH2" s="851"/>
      <c r="AI2" s="851"/>
      <c r="AJ2" s="851"/>
      <c r="AK2" s="851"/>
      <c r="AL2" s="851"/>
      <c r="AM2" s="851"/>
      <c r="AN2" s="851"/>
      <c r="AO2" s="851"/>
      <c r="AP2" s="851"/>
      <c r="AQ2" s="851"/>
      <c r="AR2" s="852"/>
    </row>
    <row r="3" spans="3:44" ht="18" customHeight="1">
      <c r="C3" s="853"/>
      <c r="D3" s="854"/>
      <c r="E3" s="854"/>
      <c r="F3" s="854"/>
      <c r="G3" s="854"/>
      <c r="H3" s="854"/>
      <c r="I3" s="854"/>
      <c r="J3" s="854"/>
      <c r="K3" s="854"/>
      <c r="L3" s="854"/>
      <c r="M3" s="854"/>
      <c r="N3" s="854"/>
      <c r="O3" s="854"/>
      <c r="P3" s="854"/>
      <c r="Q3" s="854"/>
      <c r="R3" s="854"/>
      <c r="S3" s="854"/>
      <c r="T3" s="854"/>
      <c r="U3" s="854"/>
      <c r="V3" s="854"/>
      <c r="W3" s="854"/>
      <c r="X3" s="854"/>
      <c r="Y3" s="854"/>
      <c r="Z3" s="854"/>
      <c r="AA3" s="854"/>
      <c r="AB3" s="854"/>
      <c r="AC3" s="854"/>
      <c r="AD3" s="854"/>
      <c r="AE3" s="854"/>
      <c r="AF3" s="854"/>
      <c r="AG3" s="854"/>
      <c r="AH3" s="854"/>
      <c r="AI3" s="854"/>
      <c r="AJ3" s="854"/>
      <c r="AK3" s="854"/>
      <c r="AL3" s="854"/>
      <c r="AM3" s="854"/>
      <c r="AN3" s="854"/>
      <c r="AO3" s="854"/>
      <c r="AP3" s="854"/>
      <c r="AQ3" s="854"/>
      <c r="AR3" s="855"/>
    </row>
    <row r="4" spans="3:44" ht="18" customHeight="1">
      <c r="C4" s="856" t="s">
        <v>65</v>
      </c>
      <c r="D4" s="857"/>
      <c r="E4" s="857"/>
      <c r="F4" s="857"/>
      <c r="G4" s="860" t="s">
        <v>775</v>
      </c>
      <c r="H4" s="860"/>
      <c r="I4" s="860"/>
      <c r="J4" s="861"/>
      <c r="K4" s="864" t="s">
        <v>66</v>
      </c>
      <c r="L4" s="865"/>
      <c r="M4" s="865"/>
      <c r="N4" s="865"/>
      <c r="O4" s="522" t="s">
        <v>779</v>
      </c>
      <c r="P4" s="523"/>
      <c r="Q4" s="523"/>
      <c r="R4" s="523"/>
      <c r="S4" s="523"/>
      <c r="T4" s="523"/>
      <c r="U4" s="523"/>
      <c r="V4" s="523"/>
      <c r="W4" s="523"/>
      <c r="X4" s="523"/>
      <c r="Y4" s="523"/>
      <c r="Z4" s="523"/>
      <c r="AA4" s="523"/>
      <c r="AB4" s="523"/>
      <c r="AC4" s="523"/>
      <c r="AD4" s="523"/>
      <c r="AE4" s="523"/>
      <c r="AF4" s="523"/>
      <c r="AG4" s="523"/>
      <c r="AH4" s="523"/>
      <c r="AI4" s="523"/>
      <c r="AJ4" s="523"/>
      <c r="AK4" s="523"/>
      <c r="AL4" s="864" t="s">
        <v>67</v>
      </c>
      <c r="AM4" s="865"/>
      <c r="AN4" s="865"/>
      <c r="AO4" s="865"/>
      <c r="AP4" s="843" t="s">
        <v>194</v>
      </c>
      <c r="AQ4" s="843"/>
      <c r="AR4" s="844"/>
    </row>
    <row r="5" spans="3:44" ht="18" customHeight="1">
      <c r="C5" s="858"/>
      <c r="D5" s="859"/>
      <c r="E5" s="859"/>
      <c r="F5" s="859"/>
      <c r="G5" s="862"/>
      <c r="H5" s="862"/>
      <c r="I5" s="862"/>
      <c r="J5" s="863"/>
      <c r="K5" s="866"/>
      <c r="L5" s="867"/>
      <c r="M5" s="867"/>
      <c r="N5" s="867"/>
      <c r="O5" s="524"/>
      <c r="P5" s="525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  <c r="AC5" s="525"/>
      <c r="AD5" s="525"/>
      <c r="AE5" s="525"/>
      <c r="AF5" s="525"/>
      <c r="AG5" s="525"/>
      <c r="AH5" s="525"/>
      <c r="AI5" s="525"/>
      <c r="AJ5" s="525"/>
      <c r="AK5" s="525"/>
      <c r="AL5" s="866"/>
      <c r="AM5" s="867"/>
      <c r="AN5" s="867"/>
      <c r="AO5" s="867"/>
      <c r="AP5" s="845"/>
      <c r="AQ5" s="845"/>
      <c r="AR5" s="846"/>
    </row>
    <row r="7" spans="3:44" ht="18" customHeight="1">
      <c r="C7" s="794" t="s">
        <v>43</v>
      </c>
      <c r="D7" s="774"/>
      <c r="E7" s="775"/>
      <c r="F7" s="773" t="s">
        <v>68</v>
      </c>
      <c r="G7" s="774"/>
      <c r="H7" s="774"/>
      <c r="I7" s="774"/>
      <c r="J7" s="774"/>
      <c r="K7" s="774"/>
      <c r="L7" s="774"/>
      <c r="M7" s="774"/>
      <c r="N7" s="774"/>
      <c r="O7" s="774"/>
      <c r="P7" s="774"/>
      <c r="Q7" s="774"/>
      <c r="R7" s="774"/>
      <c r="S7" s="774"/>
      <c r="T7" s="774"/>
      <c r="U7" s="775"/>
      <c r="V7" s="773" t="s">
        <v>249</v>
      </c>
      <c r="W7" s="774"/>
      <c r="X7" s="775"/>
      <c r="Y7" s="847" t="s">
        <v>69</v>
      </c>
      <c r="Z7" s="848"/>
      <c r="AA7" s="848"/>
      <c r="AB7" s="848"/>
      <c r="AC7" s="848"/>
      <c r="AD7" s="848"/>
      <c r="AE7" s="848"/>
      <c r="AF7" s="849"/>
      <c r="AG7" s="847" t="s">
        <v>70</v>
      </c>
      <c r="AH7" s="848"/>
      <c r="AI7" s="848"/>
      <c r="AJ7" s="848"/>
      <c r="AK7" s="848"/>
      <c r="AL7" s="848"/>
      <c r="AM7" s="848"/>
      <c r="AN7" s="849"/>
      <c r="AO7" s="773" t="s">
        <v>71</v>
      </c>
      <c r="AP7" s="774"/>
      <c r="AQ7" s="774"/>
      <c r="AR7" s="779"/>
    </row>
    <row r="8" spans="3:44" ht="18" customHeight="1">
      <c r="C8" s="795"/>
      <c r="D8" s="777"/>
      <c r="E8" s="778"/>
      <c r="F8" s="776"/>
      <c r="G8" s="777"/>
      <c r="H8" s="777"/>
      <c r="I8" s="777"/>
      <c r="J8" s="777"/>
      <c r="K8" s="777"/>
      <c r="L8" s="777"/>
      <c r="M8" s="777"/>
      <c r="N8" s="777"/>
      <c r="O8" s="777"/>
      <c r="P8" s="777"/>
      <c r="Q8" s="777"/>
      <c r="R8" s="777"/>
      <c r="S8" s="777"/>
      <c r="T8" s="777"/>
      <c r="U8" s="778"/>
      <c r="V8" s="776"/>
      <c r="W8" s="777"/>
      <c r="X8" s="778"/>
      <c r="Y8" s="834" t="s">
        <v>72</v>
      </c>
      <c r="Z8" s="835"/>
      <c r="AA8" s="835"/>
      <c r="AB8" s="836"/>
      <c r="AC8" s="834" t="s">
        <v>73</v>
      </c>
      <c r="AD8" s="835"/>
      <c r="AE8" s="835"/>
      <c r="AF8" s="836"/>
      <c r="AG8" s="834" t="s">
        <v>72</v>
      </c>
      <c r="AH8" s="835"/>
      <c r="AI8" s="835"/>
      <c r="AJ8" s="836"/>
      <c r="AK8" s="834" t="s">
        <v>73</v>
      </c>
      <c r="AL8" s="835"/>
      <c r="AM8" s="835"/>
      <c r="AN8" s="836"/>
      <c r="AO8" s="776"/>
      <c r="AP8" s="777"/>
      <c r="AQ8" s="777"/>
      <c r="AR8" s="780"/>
    </row>
    <row r="9" spans="3:44" ht="18" customHeight="1">
      <c r="C9" s="781"/>
      <c r="D9" s="782"/>
      <c r="E9" s="783"/>
      <c r="F9" s="493"/>
      <c r="G9" s="493"/>
      <c r="H9" s="493"/>
      <c r="I9" s="493"/>
      <c r="J9" s="493"/>
      <c r="K9" s="493"/>
      <c r="L9" s="493"/>
      <c r="M9" s="493"/>
      <c r="N9" s="493"/>
      <c r="O9" s="493"/>
      <c r="P9" s="493"/>
      <c r="Q9" s="493"/>
      <c r="R9" s="493"/>
      <c r="S9" s="493"/>
      <c r="T9" s="493"/>
      <c r="U9" s="493"/>
      <c r="V9" s="837"/>
      <c r="W9" s="838"/>
      <c r="X9" s="839"/>
      <c r="Y9" s="837"/>
      <c r="Z9" s="838"/>
      <c r="AA9" s="838"/>
      <c r="AB9" s="839"/>
      <c r="AC9" s="868"/>
      <c r="AD9" s="869"/>
      <c r="AE9" s="869"/>
      <c r="AF9" s="870"/>
      <c r="AG9" s="491"/>
      <c r="AH9" s="491"/>
      <c r="AI9" s="491"/>
      <c r="AJ9" s="491"/>
      <c r="AK9" s="491"/>
      <c r="AL9" s="491"/>
      <c r="AM9" s="491"/>
      <c r="AN9" s="491"/>
      <c r="AO9" s="491"/>
      <c r="AP9" s="491"/>
      <c r="AQ9" s="491"/>
      <c r="AR9" s="492"/>
    </row>
    <row r="10" spans="3:44" ht="18" customHeight="1">
      <c r="C10" s="758"/>
      <c r="D10" s="759"/>
      <c r="E10" s="760"/>
      <c r="F10" s="493"/>
      <c r="G10" s="493"/>
      <c r="H10" s="493"/>
      <c r="I10" s="493"/>
      <c r="J10" s="493"/>
      <c r="K10" s="493"/>
      <c r="L10" s="493"/>
      <c r="M10" s="493"/>
      <c r="N10" s="493"/>
      <c r="O10" s="493"/>
      <c r="P10" s="493"/>
      <c r="Q10" s="493"/>
      <c r="R10" s="493"/>
      <c r="S10" s="493"/>
      <c r="T10" s="493"/>
      <c r="U10" s="493"/>
      <c r="V10" s="466"/>
      <c r="W10" s="467"/>
      <c r="X10" s="468"/>
      <c r="Y10" s="466"/>
      <c r="Z10" s="467"/>
      <c r="AA10" s="467"/>
      <c r="AB10" s="468"/>
      <c r="AC10" s="828"/>
      <c r="AD10" s="829"/>
      <c r="AE10" s="829"/>
      <c r="AF10" s="830"/>
      <c r="AG10" s="491"/>
      <c r="AH10" s="491"/>
      <c r="AI10" s="491"/>
      <c r="AJ10" s="491"/>
      <c r="AK10" s="491"/>
      <c r="AL10" s="491"/>
      <c r="AM10" s="491"/>
      <c r="AN10" s="491"/>
      <c r="AO10" s="491"/>
      <c r="AP10" s="491"/>
      <c r="AQ10" s="491"/>
      <c r="AR10" s="492"/>
    </row>
    <row r="11" spans="3:44" ht="18" customHeight="1">
      <c r="C11" s="758"/>
      <c r="D11" s="759"/>
      <c r="E11" s="760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3"/>
      <c r="Q11" s="493"/>
      <c r="R11" s="493"/>
      <c r="S11" s="493"/>
      <c r="T11" s="493"/>
      <c r="U11" s="493"/>
      <c r="V11" s="466"/>
      <c r="W11" s="467"/>
      <c r="X11" s="468"/>
      <c r="Y11" s="466"/>
      <c r="Z11" s="467"/>
      <c r="AA11" s="467"/>
      <c r="AB11" s="468"/>
      <c r="AC11" s="828"/>
      <c r="AD11" s="829"/>
      <c r="AE11" s="829"/>
      <c r="AF11" s="830"/>
      <c r="AG11" s="491"/>
      <c r="AH11" s="491"/>
      <c r="AI11" s="491"/>
      <c r="AJ11" s="491"/>
      <c r="AK11" s="491"/>
      <c r="AL11" s="491"/>
      <c r="AM11" s="491"/>
      <c r="AN11" s="491"/>
      <c r="AO11" s="491"/>
      <c r="AP11" s="491"/>
      <c r="AQ11" s="491"/>
      <c r="AR11" s="492"/>
    </row>
    <row r="12" spans="3:44" ht="18" customHeight="1">
      <c r="C12" s="758"/>
      <c r="D12" s="759"/>
      <c r="E12" s="760"/>
      <c r="F12" s="493"/>
      <c r="G12" s="493"/>
      <c r="H12" s="493"/>
      <c r="I12" s="493"/>
      <c r="J12" s="493"/>
      <c r="K12" s="493"/>
      <c r="L12" s="493"/>
      <c r="M12" s="493"/>
      <c r="N12" s="493"/>
      <c r="O12" s="493"/>
      <c r="P12" s="493"/>
      <c r="Q12" s="493"/>
      <c r="R12" s="493"/>
      <c r="S12" s="493"/>
      <c r="T12" s="493"/>
      <c r="U12" s="493"/>
      <c r="V12" s="466"/>
      <c r="W12" s="467"/>
      <c r="X12" s="468"/>
      <c r="Y12" s="466"/>
      <c r="Z12" s="467"/>
      <c r="AA12" s="467"/>
      <c r="AB12" s="468"/>
      <c r="AC12" s="828"/>
      <c r="AD12" s="829"/>
      <c r="AE12" s="829"/>
      <c r="AF12" s="830"/>
      <c r="AG12" s="491"/>
      <c r="AH12" s="491"/>
      <c r="AI12" s="491"/>
      <c r="AJ12" s="491"/>
      <c r="AK12" s="491"/>
      <c r="AL12" s="491"/>
      <c r="AM12" s="491"/>
      <c r="AN12" s="491"/>
      <c r="AO12" s="491"/>
      <c r="AP12" s="491"/>
      <c r="AQ12" s="491"/>
      <c r="AR12" s="492"/>
    </row>
    <row r="13" spans="3:44" ht="18" customHeight="1">
      <c r="C13" s="758"/>
      <c r="D13" s="759"/>
      <c r="E13" s="760"/>
      <c r="F13" s="493"/>
      <c r="G13" s="493"/>
      <c r="H13" s="493"/>
      <c r="I13" s="493"/>
      <c r="J13" s="493"/>
      <c r="K13" s="493"/>
      <c r="L13" s="493"/>
      <c r="M13" s="493"/>
      <c r="N13" s="493"/>
      <c r="O13" s="493"/>
      <c r="P13" s="493"/>
      <c r="Q13" s="493"/>
      <c r="R13" s="493"/>
      <c r="S13" s="493"/>
      <c r="T13" s="493"/>
      <c r="U13" s="493"/>
      <c r="V13" s="466"/>
      <c r="W13" s="467"/>
      <c r="X13" s="468"/>
      <c r="Y13" s="466"/>
      <c r="Z13" s="467"/>
      <c r="AA13" s="467"/>
      <c r="AB13" s="468"/>
      <c r="AC13" s="828"/>
      <c r="AD13" s="829"/>
      <c r="AE13" s="829"/>
      <c r="AF13" s="830"/>
      <c r="AG13" s="491"/>
      <c r="AH13" s="491"/>
      <c r="AI13" s="491"/>
      <c r="AJ13" s="491"/>
      <c r="AK13" s="491"/>
      <c r="AL13" s="491"/>
      <c r="AM13" s="491"/>
      <c r="AN13" s="491"/>
      <c r="AO13" s="491"/>
      <c r="AP13" s="491"/>
      <c r="AQ13" s="491"/>
      <c r="AR13" s="492"/>
    </row>
    <row r="14" spans="3:44" ht="18" customHeight="1">
      <c r="C14" s="758"/>
      <c r="D14" s="759"/>
      <c r="E14" s="760"/>
      <c r="F14" s="493"/>
      <c r="G14" s="493"/>
      <c r="H14" s="493"/>
      <c r="I14" s="493"/>
      <c r="J14" s="493"/>
      <c r="K14" s="493"/>
      <c r="L14" s="493"/>
      <c r="M14" s="493"/>
      <c r="N14" s="493"/>
      <c r="O14" s="493"/>
      <c r="P14" s="493"/>
      <c r="Q14" s="493"/>
      <c r="R14" s="493"/>
      <c r="S14" s="493"/>
      <c r="T14" s="493"/>
      <c r="U14" s="493"/>
      <c r="V14" s="466"/>
      <c r="W14" s="467"/>
      <c r="X14" s="468"/>
      <c r="Y14" s="466"/>
      <c r="Z14" s="467"/>
      <c r="AA14" s="467"/>
      <c r="AB14" s="468"/>
      <c r="AC14" s="828"/>
      <c r="AD14" s="829"/>
      <c r="AE14" s="829"/>
      <c r="AF14" s="830"/>
      <c r="AG14" s="491"/>
      <c r="AH14" s="491"/>
      <c r="AI14" s="491"/>
      <c r="AJ14" s="491"/>
      <c r="AK14" s="491"/>
      <c r="AL14" s="491"/>
      <c r="AM14" s="491"/>
      <c r="AN14" s="491"/>
      <c r="AO14" s="491"/>
      <c r="AP14" s="491"/>
      <c r="AQ14" s="491"/>
      <c r="AR14" s="492"/>
    </row>
    <row r="15" spans="3:44" ht="18" customHeight="1">
      <c r="C15" s="758"/>
      <c r="D15" s="759"/>
      <c r="E15" s="760"/>
      <c r="F15" s="796"/>
      <c r="G15" s="797"/>
      <c r="H15" s="797"/>
      <c r="I15" s="797"/>
      <c r="J15" s="797"/>
      <c r="K15" s="797"/>
      <c r="L15" s="797"/>
      <c r="M15" s="797"/>
      <c r="N15" s="797"/>
      <c r="O15" s="797"/>
      <c r="P15" s="797"/>
      <c r="Q15" s="797"/>
      <c r="R15" s="797"/>
      <c r="S15" s="797"/>
      <c r="T15" s="797"/>
      <c r="U15" s="798"/>
      <c r="V15" s="466"/>
      <c r="W15" s="467"/>
      <c r="X15" s="468"/>
      <c r="Y15" s="466"/>
      <c r="Z15" s="467"/>
      <c r="AA15" s="467"/>
      <c r="AB15" s="468"/>
      <c r="AC15" s="828"/>
      <c r="AD15" s="829"/>
      <c r="AE15" s="829"/>
      <c r="AF15" s="830"/>
      <c r="AG15" s="466"/>
      <c r="AH15" s="467"/>
      <c r="AI15" s="467"/>
      <c r="AJ15" s="468"/>
      <c r="AK15" s="466"/>
      <c r="AL15" s="467"/>
      <c r="AM15" s="467"/>
      <c r="AN15" s="468"/>
      <c r="AO15" s="466"/>
      <c r="AP15" s="467"/>
      <c r="AQ15" s="467"/>
      <c r="AR15" s="823"/>
    </row>
    <row r="16" spans="3:44" ht="18" customHeight="1">
      <c r="C16" s="758"/>
      <c r="D16" s="759"/>
      <c r="E16" s="760"/>
      <c r="F16" s="796"/>
      <c r="G16" s="797"/>
      <c r="H16" s="797"/>
      <c r="I16" s="797"/>
      <c r="J16" s="797"/>
      <c r="K16" s="797"/>
      <c r="L16" s="797"/>
      <c r="M16" s="797"/>
      <c r="N16" s="797"/>
      <c r="O16" s="797"/>
      <c r="P16" s="797"/>
      <c r="Q16" s="797"/>
      <c r="R16" s="797"/>
      <c r="S16" s="797"/>
      <c r="T16" s="797"/>
      <c r="U16" s="798"/>
      <c r="V16" s="466"/>
      <c r="W16" s="467"/>
      <c r="X16" s="468"/>
      <c r="Y16" s="466"/>
      <c r="Z16" s="467"/>
      <c r="AA16" s="467"/>
      <c r="AB16" s="468"/>
      <c r="AC16" s="828"/>
      <c r="AD16" s="829"/>
      <c r="AE16" s="829"/>
      <c r="AF16" s="830"/>
      <c r="AG16" s="466"/>
      <c r="AH16" s="467"/>
      <c r="AI16" s="467"/>
      <c r="AJ16" s="468"/>
      <c r="AK16" s="466"/>
      <c r="AL16" s="467"/>
      <c r="AM16" s="467"/>
      <c r="AN16" s="468"/>
      <c r="AO16" s="466"/>
      <c r="AP16" s="467"/>
      <c r="AQ16" s="467"/>
      <c r="AR16" s="823"/>
    </row>
    <row r="17" spans="3:44" ht="18" customHeight="1">
      <c r="C17" s="743"/>
      <c r="D17" s="744"/>
      <c r="E17" s="744"/>
      <c r="F17" s="744"/>
      <c r="G17" s="744"/>
      <c r="H17" s="744"/>
      <c r="I17" s="744"/>
      <c r="J17" s="744"/>
      <c r="K17" s="744"/>
      <c r="L17" s="744"/>
      <c r="M17" s="744"/>
      <c r="N17" s="744"/>
      <c r="O17" s="744"/>
      <c r="P17" s="744"/>
      <c r="Q17" s="744"/>
      <c r="R17" s="744"/>
      <c r="S17" s="744"/>
      <c r="T17" s="744"/>
      <c r="U17" s="744"/>
      <c r="V17" s="744"/>
      <c r="W17" s="744"/>
      <c r="X17" s="824"/>
      <c r="Y17" s="825" t="s">
        <v>74</v>
      </c>
      <c r="Z17" s="826"/>
      <c r="AA17" s="826"/>
      <c r="AB17" s="826"/>
      <c r="AC17" s="826"/>
      <c r="AD17" s="826"/>
      <c r="AE17" s="826"/>
      <c r="AF17" s="826"/>
      <c r="AG17" s="826"/>
      <c r="AH17" s="826"/>
      <c r="AI17" s="826"/>
      <c r="AJ17" s="826"/>
      <c r="AK17" s="826"/>
      <c r="AL17" s="826"/>
      <c r="AM17" s="826"/>
      <c r="AN17" s="827"/>
      <c r="AO17" s="477">
        <f>SUM(AO9:AR16)</f>
        <v>0</v>
      </c>
      <c r="AP17" s="746"/>
      <c r="AQ17" s="746"/>
      <c r="AR17" s="747"/>
    </row>
    <row r="19" spans="3:44" ht="18" customHeight="1">
      <c r="C19" s="794" t="s">
        <v>43</v>
      </c>
      <c r="D19" s="774"/>
      <c r="E19" s="775"/>
      <c r="F19" s="773" t="s">
        <v>75</v>
      </c>
      <c r="G19" s="774"/>
      <c r="H19" s="774"/>
      <c r="I19" s="774"/>
      <c r="J19" s="774"/>
      <c r="K19" s="774"/>
      <c r="L19" s="774"/>
      <c r="M19" s="774"/>
      <c r="N19" s="774"/>
      <c r="O19" s="774"/>
      <c r="P19" s="774"/>
      <c r="Q19" s="774"/>
      <c r="R19" s="774"/>
      <c r="S19" s="774"/>
      <c r="T19" s="774"/>
      <c r="U19" s="774"/>
      <c r="V19" s="774"/>
      <c r="W19" s="774"/>
      <c r="X19" s="774"/>
      <c r="Y19" s="774"/>
      <c r="Z19" s="774"/>
      <c r="AA19" s="774"/>
      <c r="AB19" s="775"/>
      <c r="AC19" s="773" t="s">
        <v>76</v>
      </c>
      <c r="AD19" s="774"/>
      <c r="AE19" s="774"/>
      <c r="AF19" s="775"/>
      <c r="AG19" s="773" t="s">
        <v>249</v>
      </c>
      <c r="AH19" s="774"/>
      <c r="AI19" s="774"/>
      <c r="AJ19" s="775"/>
      <c r="AK19" s="773" t="s">
        <v>77</v>
      </c>
      <c r="AL19" s="774"/>
      <c r="AM19" s="774"/>
      <c r="AN19" s="775"/>
      <c r="AO19" s="773" t="s">
        <v>71</v>
      </c>
      <c r="AP19" s="774"/>
      <c r="AQ19" s="774"/>
      <c r="AR19" s="779"/>
    </row>
    <row r="20" spans="3:44" ht="18" customHeight="1">
      <c r="C20" s="795"/>
      <c r="D20" s="777"/>
      <c r="E20" s="778"/>
      <c r="F20" s="776"/>
      <c r="G20" s="777"/>
      <c r="H20" s="777"/>
      <c r="I20" s="777"/>
      <c r="J20" s="777"/>
      <c r="K20" s="777"/>
      <c r="L20" s="777"/>
      <c r="M20" s="777"/>
      <c r="N20" s="777"/>
      <c r="O20" s="777"/>
      <c r="P20" s="777"/>
      <c r="Q20" s="777"/>
      <c r="R20" s="777"/>
      <c r="S20" s="777"/>
      <c r="T20" s="777"/>
      <c r="U20" s="777"/>
      <c r="V20" s="777"/>
      <c r="W20" s="777"/>
      <c r="X20" s="777"/>
      <c r="Y20" s="777"/>
      <c r="Z20" s="777"/>
      <c r="AA20" s="777"/>
      <c r="AB20" s="778"/>
      <c r="AC20" s="776"/>
      <c r="AD20" s="777"/>
      <c r="AE20" s="777"/>
      <c r="AF20" s="778"/>
      <c r="AG20" s="776"/>
      <c r="AH20" s="777"/>
      <c r="AI20" s="777"/>
      <c r="AJ20" s="778"/>
      <c r="AK20" s="776"/>
      <c r="AL20" s="777"/>
      <c r="AM20" s="777"/>
      <c r="AN20" s="778"/>
      <c r="AO20" s="776"/>
      <c r="AP20" s="777"/>
      <c r="AQ20" s="777"/>
      <c r="AR20" s="780"/>
    </row>
    <row r="21" spans="3:44" ht="18" customHeight="1">
      <c r="C21" s="781" t="s">
        <v>940</v>
      </c>
      <c r="D21" s="782"/>
      <c r="E21" s="783"/>
      <c r="F21" s="493" t="s">
        <v>105</v>
      </c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770"/>
      <c r="AD21" s="771"/>
      <c r="AE21" s="771"/>
      <c r="AF21" s="790"/>
      <c r="AG21" s="770">
        <v>2</v>
      </c>
      <c r="AH21" s="771"/>
      <c r="AI21" s="771"/>
      <c r="AJ21" s="790"/>
      <c r="AK21" s="449">
        <f>VLOOKUP(C21,[4]MÃODEOBRA!A$1:D$65536,4,FALSE)</f>
        <v>22.98488</v>
      </c>
      <c r="AL21" s="449"/>
      <c r="AM21" s="449"/>
      <c r="AN21" s="449"/>
      <c r="AO21" s="491">
        <f>ROUND(AG21*AK21,2)</f>
        <v>45.97</v>
      </c>
      <c r="AP21" s="491"/>
      <c r="AQ21" s="491"/>
      <c r="AR21" s="492"/>
    </row>
    <row r="22" spans="3:44" ht="18" customHeight="1">
      <c r="C22" s="758"/>
      <c r="D22" s="759"/>
      <c r="E22" s="760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740"/>
      <c r="AD22" s="741"/>
      <c r="AE22" s="741"/>
      <c r="AF22" s="757"/>
      <c r="AG22" s="740"/>
      <c r="AH22" s="741"/>
      <c r="AI22" s="741"/>
      <c r="AJ22" s="757"/>
      <c r="AK22" s="449"/>
      <c r="AL22" s="449"/>
      <c r="AM22" s="449"/>
      <c r="AN22" s="449"/>
      <c r="AO22" s="491"/>
      <c r="AP22" s="491"/>
      <c r="AQ22" s="491"/>
      <c r="AR22" s="492"/>
    </row>
    <row r="23" spans="3:44" ht="18" customHeight="1">
      <c r="C23" s="758"/>
      <c r="D23" s="759"/>
      <c r="E23" s="760"/>
      <c r="F23" s="796"/>
      <c r="G23" s="797"/>
      <c r="H23" s="797"/>
      <c r="I23" s="797"/>
      <c r="J23" s="797"/>
      <c r="K23" s="797"/>
      <c r="L23" s="797"/>
      <c r="M23" s="797"/>
      <c r="N23" s="797"/>
      <c r="O23" s="797"/>
      <c r="P23" s="797"/>
      <c r="Q23" s="797"/>
      <c r="R23" s="797"/>
      <c r="S23" s="797"/>
      <c r="T23" s="797"/>
      <c r="U23" s="797"/>
      <c r="V23" s="797"/>
      <c r="W23" s="797"/>
      <c r="X23" s="797"/>
      <c r="Y23" s="797"/>
      <c r="Z23" s="797"/>
      <c r="AA23" s="797"/>
      <c r="AB23" s="798"/>
      <c r="AC23" s="740"/>
      <c r="AD23" s="741"/>
      <c r="AE23" s="741"/>
      <c r="AF23" s="757"/>
      <c r="AG23" s="740"/>
      <c r="AH23" s="741"/>
      <c r="AI23" s="741"/>
      <c r="AJ23" s="757"/>
      <c r="AK23" s="740"/>
      <c r="AL23" s="741"/>
      <c r="AM23" s="741"/>
      <c r="AN23" s="757"/>
      <c r="AO23" s="466"/>
      <c r="AP23" s="467"/>
      <c r="AQ23" s="467"/>
      <c r="AR23" s="823"/>
    </row>
    <row r="24" spans="3:44" ht="18" customHeight="1">
      <c r="C24" s="758"/>
      <c r="D24" s="759"/>
      <c r="E24" s="760"/>
      <c r="F24" s="796"/>
      <c r="G24" s="797"/>
      <c r="H24" s="797"/>
      <c r="I24" s="797"/>
      <c r="J24" s="797"/>
      <c r="K24" s="797"/>
      <c r="L24" s="797"/>
      <c r="M24" s="797"/>
      <c r="N24" s="797"/>
      <c r="O24" s="797"/>
      <c r="P24" s="797"/>
      <c r="Q24" s="797"/>
      <c r="R24" s="797"/>
      <c r="S24" s="797"/>
      <c r="T24" s="797"/>
      <c r="U24" s="797"/>
      <c r="V24" s="797"/>
      <c r="W24" s="797"/>
      <c r="X24" s="797"/>
      <c r="Y24" s="797"/>
      <c r="Z24" s="797"/>
      <c r="AA24" s="797"/>
      <c r="AB24" s="798"/>
      <c r="AC24" s="740"/>
      <c r="AD24" s="741"/>
      <c r="AE24" s="741"/>
      <c r="AF24" s="757"/>
      <c r="AG24" s="740"/>
      <c r="AH24" s="741"/>
      <c r="AI24" s="741"/>
      <c r="AJ24" s="757"/>
      <c r="AK24" s="740"/>
      <c r="AL24" s="741"/>
      <c r="AM24" s="741"/>
      <c r="AN24" s="757"/>
      <c r="AO24" s="466"/>
      <c r="AP24" s="467"/>
      <c r="AQ24" s="467"/>
      <c r="AR24" s="823"/>
    </row>
    <row r="25" spans="3:44" ht="18" customHeight="1">
      <c r="C25" s="758"/>
      <c r="D25" s="759"/>
      <c r="E25" s="760"/>
      <c r="F25" s="796"/>
      <c r="G25" s="797"/>
      <c r="H25" s="797"/>
      <c r="I25" s="797"/>
      <c r="J25" s="797"/>
      <c r="K25" s="797"/>
      <c r="L25" s="797"/>
      <c r="M25" s="797"/>
      <c r="N25" s="797"/>
      <c r="O25" s="797"/>
      <c r="P25" s="797"/>
      <c r="Q25" s="797"/>
      <c r="R25" s="797"/>
      <c r="S25" s="797"/>
      <c r="T25" s="797"/>
      <c r="U25" s="797"/>
      <c r="V25" s="797"/>
      <c r="W25" s="797"/>
      <c r="X25" s="797"/>
      <c r="Y25" s="797"/>
      <c r="Z25" s="797"/>
      <c r="AA25" s="797"/>
      <c r="AB25" s="798"/>
      <c r="AC25" s="740"/>
      <c r="AD25" s="741"/>
      <c r="AE25" s="741"/>
      <c r="AF25" s="757"/>
      <c r="AG25" s="740"/>
      <c r="AH25" s="741"/>
      <c r="AI25" s="741"/>
      <c r="AJ25" s="757"/>
      <c r="AK25" s="740"/>
      <c r="AL25" s="741"/>
      <c r="AM25" s="741"/>
      <c r="AN25" s="757"/>
      <c r="AO25" s="466"/>
      <c r="AP25" s="467"/>
      <c r="AQ25" s="467"/>
      <c r="AR25" s="823"/>
    </row>
    <row r="26" spans="3:44" ht="18" customHeight="1">
      <c r="C26" s="758"/>
      <c r="D26" s="759"/>
      <c r="E26" s="760"/>
      <c r="F26" s="796"/>
      <c r="G26" s="797"/>
      <c r="H26" s="797"/>
      <c r="I26" s="797"/>
      <c r="J26" s="797"/>
      <c r="K26" s="797"/>
      <c r="L26" s="797"/>
      <c r="M26" s="797"/>
      <c r="N26" s="797"/>
      <c r="O26" s="797"/>
      <c r="P26" s="797"/>
      <c r="Q26" s="797"/>
      <c r="R26" s="797"/>
      <c r="S26" s="797"/>
      <c r="T26" s="797"/>
      <c r="U26" s="797"/>
      <c r="V26" s="797"/>
      <c r="W26" s="797"/>
      <c r="X26" s="797"/>
      <c r="Y26" s="797"/>
      <c r="Z26" s="797"/>
      <c r="AA26" s="797"/>
      <c r="AB26" s="798"/>
      <c r="AC26" s="740"/>
      <c r="AD26" s="741"/>
      <c r="AE26" s="741"/>
      <c r="AF26" s="757"/>
      <c r="AG26" s="740"/>
      <c r="AH26" s="741"/>
      <c r="AI26" s="741"/>
      <c r="AJ26" s="757"/>
      <c r="AK26" s="740"/>
      <c r="AL26" s="741"/>
      <c r="AM26" s="741"/>
      <c r="AN26" s="757"/>
      <c r="AO26" s="466"/>
      <c r="AP26" s="467"/>
      <c r="AQ26" s="467"/>
      <c r="AR26" s="823"/>
    </row>
    <row r="27" spans="3:44" ht="18" customHeight="1">
      <c r="C27" s="758"/>
      <c r="D27" s="759"/>
      <c r="E27" s="760"/>
      <c r="F27" s="796"/>
      <c r="G27" s="797"/>
      <c r="H27" s="797"/>
      <c r="I27" s="797"/>
      <c r="J27" s="797"/>
      <c r="K27" s="797"/>
      <c r="L27" s="797"/>
      <c r="M27" s="797"/>
      <c r="N27" s="797"/>
      <c r="O27" s="797"/>
      <c r="P27" s="797"/>
      <c r="Q27" s="797"/>
      <c r="R27" s="797"/>
      <c r="S27" s="797"/>
      <c r="T27" s="797"/>
      <c r="U27" s="797"/>
      <c r="V27" s="797"/>
      <c r="W27" s="797"/>
      <c r="X27" s="797"/>
      <c r="Y27" s="797"/>
      <c r="Z27" s="797"/>
      <c r="AA27" s="797"/>
      <c r="AB27" s="798"/>
      <c r="AC27" s="740"/>
      <c r="AD27" s="741"/>
      <c r="AE27" s="741"/>
      <c r="AF27" s="757"/>
      <c r="AG27" s="740"/>
      <c r="AH27" s="741"/>
      <c r="AI27" s="741"/>
      <c r="AJ27" s="757"/>
      <c r="AK27" s="740"/>
      <c r="AL27" s="741"/>
      <c r="AM27" s="741"/>
      <c r="AN27" s="757"/>
      <c r="AO27" s="466"/>
      <c r="AP27" s="467"/>
      <c r="AQ27" s="467"/>
      <c r="AR27" s="823"/>
    </row>
    <row r="28" spans="3:44" ht="18" customHeight="1">
      <c r="C28" s="758"/>
      <c r="D28" s="759"/>
      <c r="E28" s="760"/>
      <c r="F28" s="796"/>
      <c r="G28" s="797"/>
      <c r="H28" s="797"/>
      <c r="I28" s="797"/>
      <c r="J28" s="797"/>
      <c r="K28" s="797"/>
      <c r="L28" s="797"/>
      <c r="M28" s="797"/>
      <c r="N28" s="797"/>
      <c r="O28" s="797"/>
      <c r="P28" s="797"/>
      <c r="Q28" s="797"/>
      <c r="R28" s="797"/>
      <c r="S28" s="797"/>
      <c r="T28" s="797"/>
      <c r="U28" s="797"/>
      <c r="V28" s="797"/>
      <c r="W28" s="797"/>
      <c r="X28" s="797"/>
      <c r="Y28" s="797"/>
      <c r="Z28" s="797"/>
      <c r="AA28" s="797"/>
      <c r="AB28" s="798"/>
      <c r="AC28" s="740"/>
      <c r="AD28" s="741"/>
      <c r="AE28" s="741"/>
      <c r="AF28" s="757"/>
      <c r="AG28" s="740"/>
      <c r="AH28" s="741"/>
      <c r="AI28" s="741"/>
      <c r="AJ28" s="757"/>
      <c r="AK28" s="740"/>
      <c r="AL28" s="741"/>
      <c r="AM28" s="741"/>
      <c r="AN28" s="757"/>
      <c r="AO28" s="466"/>
      <c r="AP28" s="467"/>
      <c r="AQ28" s="467"/>
      <c r="AR28" s="823"/>
    </row>
    <row r="29" spans="3:44" ht="18" customHeight="1">
      <c r="C29" s="814"/>
      <c r="D29" s="815"/>
      <c r="E29" s="815"/>
      <c r="F29" s="815"/>
      <c r="G29" s="815"/>
      <c r="H29" s="815"/>
      <c r="I29" s="815"/>
      <c r="J29" s="815"/>
      <c r="K29" s="815"/>
      <c r="L29" s="815"/>
      <c r="M29" s="815"/>
      <c r="N29" s="815"/>
      <c r="O29" s="815"/>
      <c r="P29" s="815"/>
      <c r="Q29" s="815"/>
      <c r="R29" s="815"/>
      <c r="S29" s="815"/>
      <c r="T29" s="815"/>
      <c r="U29" s="815"/>
      <c r="V29" s="815"/>
      <c r="W29" s="815"/>
      <c r="X29" s="815"/>
      <c r="Y29" s="816" t="s">
        <v>78</v>
      </c>
      <c r="Z29" s="816"/>
      <c r="AA29" s="816"/>
      <c r="AB29" s="816"/>
      <c r="AC29" s="816"/>
      <c r="AD29" s="816"/>
      <c r="AE29" s="816"/>
      <c r="AF29" s="483"/>
      <c r="AG29" s="817" t="s">
        <v>267</v>
      </c>
      <c r="AH29" s="818"/>
      <c r="AI29" s="818"/>
      <c r="AJ29" s="819"/>
      <c r="AK29" s="466">
        <f>SUM(AO21:AR28)</f>
        <v>45.97</v>
      </c>
      <c r="AL29" s="467"/>
      <c r="AM29" s="467"/>
      <c r="AN29" s="468"/>
      <c r="AO29" s="820">
        <f>ROUND(AG29*AK29,2)</f>
        <v>9.43</v>
      </c>
      <c r="AP29" s="821"/>
      <c r="AQ29" s="821"/>
      <c r="AR29" s="822"/>
    </row>
    <row r="30" spans="3:44" ht="18" customHeight="1">
      <c r="C30" s="743"/>
      <c r="D30" s="744"/>
      <c r="E30" s="744"/>
      <c r="F30" s="744"/>
      <c r="G30" s="744"/>
      <c r="H30" s="744"/>
      <c r="I30" s="744"/>
      <c r="J30" s="744"/>
      <c r="K30" s="744"/>
      <c r="L30" s="744"/>
      <c r="M30" s="744"/>
      <c r="N30" s="744"/>
      <c r="O30" s="744"/>
      <c r="P30" s="744"/>
      <c r="Q30" s="744"/>
      <c r="R30" s="744"/>
      <c r="S30" s="744"/>
      <c r="T30" s="744"/>
      <c r="U30" s="744"/>
      <c r="V30" s="744"/>
      <c r="W30" s="744"/>
      <c r="X30" s="744"/>
      <c r="Y30" s="745" t="s">
        <v>79</v>
      </c>
      <c r="Z30" s="745"/>
      <c r="AA30" s="745"/>
      <c r="AB30" s="745"/>
      <c r="AC30" s="745"/>
      <c r="AD30" s="745"/>
      <c r="AE30" s="745"/>
      <c r="AF30" s="745"/>
      <c r="AG30" s="745"/>
      <c r="AH30" s="745"/>
      <c r="AI30" s="745"/>
      <c r="AJ30" s="745"/>
      <c r="AK30" s="745"/>
      <c r="AL30" s="745"/>
      <c r="AM30" s="745"/>
      <c r="AN30" s="430"/>
      <c r="AO30" s="477">
        <f>SUM(AO21:AR29)</f>
        <v>55.4</v>
      </c>
      <c r="AP30" s="746"/>
      <c r="AQ30" s="746"/>
      <c r="AR30" s="747"/>
    </row>
    <row r="32" spans="3:44" ht="18" customHeight="1">
      <c r="C32" s="802"/>
      <c r="D32" s="803"/>
      <c r="E32" s="803"/>
      <c r="F32" s="803"/>
      <c r="G32" s="803"/>
      <c r="H32" s="803"/>
      <c r="I32" s="803"/>
      <c r="J32" s="803"/>
      <c r="K32" s="803"/>
      <c r="L32" s="803"/>
      <c r="M32" s="803"/>
      <c r="N32" s="803"/>
      <c r="O32" s="803"/>
      <c r="P32" s="803"/>
      <c r="Q32" s="803"/>
      <c r="R32" s="803"/>
      <c r="S32" s="803"/>
      <c r="T32" s="803"/>
      <c r="U32" s="803"/>
      <c r="V32" s="803"/>
      <c r="W32" s="803"/>
      <c r="X32" s="803"/>
      <c r="Y32" s="804" t="s">
        <v>80</v>
      </c>
      <c r="Z32" s="805"/>
      <c r="AA32" s="805"/>
      <c r="AB32" s="805"/>
      <c r="AC32" s="805"/>
      <c r="AD32" s="805"/>
      <c r="AE32" s="805"/>
      <c r="AF32" s="805"/>
      <c r="AG32" s="805"/>
      <c r="AH32" s="805"/>
      <c r="AI32" s="805"/>
      <c r="AJ32" s="805"/>
      <c r="AK32" s="805"/>
      <c r="AL32" s="805"/>
      <c r="AM32" s="805"/>
      <c r="AN32" s="806"/>
      <c r="AO32" s="807">
        <f>AO17+AO30</f>
        <v>55.4</v>
      </c>
      <c r="AP32" s="808"/>
      <c r="AQ32" s="808"/>
      <c r="AR32" s="809"/>
    </row>
    <row r="33" spans="3:44" ht="18" customHeight="1">
      <c r="C33" s="810" t="s">
        <v>81</v>
      </c>
      <c r="D33" s="745"/>
      <c r="E33" s="745"/>
      <c r="F33" s="745"/>
      <c r="G33" s="745"/>
      <c r="H33" s="745"/>
      <c r="I33" s="745"/>
      <c r="J33" s="745"/>
      <c r="K33" s="745"/>
      <c r="L33" s="745"/>
      <c r="M33" s="745"/>
      <c r="N33" s="745"/>
      <c r="O33" s="745"/>
      <c r="P33" s="430"/>
      <c r="Q33" s="477">
        <v>1</v>
      </c>
      <c r="R33" s="746"/>
      <c r="S33" s="746"/>
      <c r="T33" s="746"/>
      <c r="U33" s="746"/>
      <c r="V33" s="745" t="s">
        <v>194</v>
      </c>
      <c r="W33" s="745"/>
      <c r="X33" s="430"/>
      <c r="Y33" s="804" t="s">
        <v>82</v>
      </c>
      <c r="Z33" s="805"/>
      <c r="AA33" s="805"/>
      <c r="AB33" s="805"/>
      <c r="AC33" s="805"/>
      <c r="AD33" s="805"/>
      <c r="AE33" s="805"/>
      <c r="AF33" s="805"/>
      <c r="AG33" s="805"/>
      <c r="AH33" s="805"/>
      <c r="AI33" s="805"/>
      <c r="AJ33" s="805"/>
      <c r="AK33" s="805"/>
      <c r="AL33" s="805"/>
      <c r="AM33" s="805"/>
      <c r="AN33" s="806"/>
      <c r="AO33" s="811">
        <f>ROUND(AO32/Q33,2)</f>
        <v>55.4</v>
      </c>
      <c r="AP33" s="812"/>
      <c r="AQ33" s="812"/>
      <c r="AR33" s="813"/>
    </row>
    <row r="35" spans="3:44" ht="18" customHeight="1">
      <c r="C35" s="794" t="s">
        <v>43</v>
      </c>
      <c r="D35" s="774"/>
      <c r="E35" s="775"/>
      <c r="F35" s="773" t="s">
        <v>83</v>
      </c>
      <c r="G35" s="774"/>
      <c r="H35" s="774"/>
      <c r="I35" s="774"/>
      <c r="J35" s="774"/>
      <c r="K35" s="774"/>
      <c r="L35" s="774"/>
      <c r="M35" s="774"/>
      <c r="N35" s="774"/>
      <c r="O35" s="774"/>
      <c r="P35" s="774"/>
      <c r="Q35" s="774"/>
      <c r="R35" s="774"/>
      <c r="S35" s="774"/>
      <c r="T35" s="774"/>
      <c r="U35" s="774"/>
      <c r="V35" s="774"/>
      <c r="W35" s="774"/>
      <c r="X35" s="774"/>
      <c r="Y35" s="774"/>
      <c r="Z35" s="774"/>
      <c r="AA35" s="774"/>
      <c r="AB35" s="775"/>
      <c r="AC35" s="773" t="s">
        <v>84</v>
      </c>
      <c r="AD35" s="774"/>
      <c r="AE35" s="774"/>
      <c r="AF35" s="775"/>
      <c r="AG35" s="773" t="s">
        <v>85</v>
      </c>
      <c r="AH35" s="774"/>
      <c r="AI35" s="774"/>
      <c r="AJ35" s="775"/>
      <c r="AK35" s="773" t="s">
        <v>86</v>
      </c>
      <c r="AL35" s="774"/>
      <c r="AM35" s="774"/>
      <c r="AN35" s="775"/>
      <c r="AO35" s="773" t="s">
        <v>87</v>
      </c>
      <c r="AP35" s="774"/>
      <c r="AQ35" s="774"/>
      <c r="AR35" s="779"/>
    </row>
    <row r="36" spans="3:44" ht="18" customHeight="1">
      <c r="C36" s="795"/>
      <c r="D36" s="777"/>
      <c r="E36" s="778"/>
      <c r="F36" s="776"/>
      <c r="G36" s="777"/>
      <c r="H36" s="777"/>
      <c r="I36" s="777"/>
      <c r="J36" s="777"/>
      <c r="K36" s="777"/>
      <c r="L36" s="777"/>
      <c r="M36" s="777"/>
      <c r="N36" s="777"/>
      <c r="O36" s="777"/>
      <c r="P36" s="777"/>
      <c r="Q36" s="777"/>
      <c r="R36" s="777"/>
      <c r="S36" s="777"/>
      <c r="T36" s="777"/>
      <c r="U36" s="777"/>
      <c r="V36" s="777"/>
      <c r="W36" s="777"/>
      <c r="X36" s="777"/>
      <c r="Y36" s="777"/>
      <c r="Z36" s="777"/>
      <c r="AA36" s="777"/>
      <c r="AB36" s="778"/>
      <c r="AC36" s="776"/>
      <c r="AD36" s="777"/>
      <c r="AE36" s="777"/>
      <c r="AF36" s="778"/>
      <c r="AG36" s="776"/>
      <c r="AH36" s="777"/>
      <c r="AI36" s="777"/>
      <c r="AJ36" s="778"/>
      <c r="AK36" s="776"/>
      <c r="AL36" s="777"/>
      <c r="AM36" s="777"/>
      <c r="AN36" s="778"/>
      <c r="AO36" s="776"/>
      <c r="AP36" s="777"/>
      <c r="AQ36" s="777"/>
      <c r="AR36" s="780"/>
    </row>
    <row r="37" spans="3:44" ht="18" customHeight="1">
      <c r="C37" s="781" t="s">
        <v>710</v>
      </c>
      <c r="D37" s="782"/>
      <c r="E37" s="783"/>
      <c r="F37" s="493" t="s">
        <v>369</v>
      </c>
      <c r="G37" s="493"/>
      <c r="H37" s="493"/>
      <c r="I37" s="493"/>
      <c r="J37" s="493"/>
      <c r="K37" s="493"/>
      <c r="L37" s="493"/>
      <c r="M37" s="493"/>
      <c r="N37" s="493"/>
      <c r="O37" s="493"/>
      <c r="P37" s="493"/>
      <c r="Q37" s="493"/>
      <c r="R37" s="493"/>
      <c r="S37" s="493"/>
      <c r="T37" s="493"/>
      <c r="U37" s="493"/>
      <c r="V37" s="493"/>
      <c r="W37" s="493"/>
      <c r="X37" s="493"/>
      <c r="Y37" s="493"/>
      <c r="Z37" s="493"/>
      <c r="AA37" s="493"/>
      <c r="AB37" s="493"/>
      <c r="AC37" s="471" t="s">
        <v>245</v>
      </c>
      <c r="AD37" s="803"/>
      <c r="AE37" s="803"/>
      <c r="AF37" s="871"/>
      <c r="AG37" s="491">
        <f>TRUNC(34.23/1.2031,2)</f>
        <v>28.45</v>
      </c>
      <c r="AH37" s="491"/>
      <c r="AI37" s="491"/>
      <c r="AJ37" s="491"/>
      <c r="AK37" s="791">
        <v>1</v>
      </c>
      <c r="AL37" s="792"/>
      <c r="AM37" s="792"/>
      <c r="AN37" s="793"/>
      <c r="AO37" s="740">
        <f t="shared" ref="AO37:AO43" si="0">ROUND(AG37*AK37,2)</f>
        <v>28.45</v>
      </c>
      <c r="AP37" s="741"/>
      <c r="AQ37" s="741"/>
      <c r="AR37" s="742"/>
    </row>
    <row r="38" spans="3:44" ht="18" customHeight="1">
      <c r="C38" s="758" t="s">
        <v>1376</v>
      </c>
      <c r="D38" s="759"/>
      <c r="E38" s="760"/>
      <c r="F38" s="796" t="s">
        <v>370</v>
      </c>
      <c r="G38" s="797"/>
      <c r="H38" s="797"/>
      <c r="I38" s="797"/>
      <c r="J38" s="797"/>
      <c r="K38" s="797"/>
      <c r="L38" s="797"/>
      <c r="M38" s="797"/>
      <c r="N38" s="797"/>
      <c r="O38" s="797"/>
      <c r="P38" s="797"/>
      <c r="Q38" s="797"/>
      <c r="R38" s="797"/>
      <c r="S38" s="797"/>
      <c r="T38" s="797"/>
      <c r="U38" s="797"/>
      <c r="V38" s="797"/>
      <c r="W38" s="797"/>
      <c r="X38" s="797"/>
      <c r="Y38" s="797"/>
      <c r="Z38" s="797"/>
      <c r="AA38" s="797"/>
      <c r="AB38" s="798"/>
      <c r="AC38" s="799" t="s">
        <v>309</v>
      </c>
      <c r="AD38" s="800"/>
      <c r="AE38" s="800"/>
      <c r="AF38" s="801"/>
      <c r="AG38" s="466">
        <f>TRUNC(43.8/1.2031,2)</f>
        <v>36.4</v>
      </c>
      <c r="AH38" s="467"/>
      <c r="AI38" s="467"/>
      <c r="AJ38" s="468"/>
      <c r="AK38" s="737">
        <v>0.5</v>
      </c>
      <c r="AL38" s="738"/>
      <c r="AM38" s="738"/>
      <c r="AN38" s="739"/>
      <c r="AO38" s="740">
        <f t="shared" si="0"/>
        <v>18.2</v>
      </c>
      <c r="AP38" s="741"/>
      <c r="AQ38" s="741"/>
      <c r="AR38" s="742"/>
    </row>
    <row r="39" spans="3:44" ht="18" customHeight="1">
      <c r="C39" s="758" t="s">
        <v>857</v>
      </c>
      <c r="D39" s="759"/>
      <c r="E39" s="760"/>
      <c r="F39" s="796" t="s">
        <v>374</v>
      </c>
      <c r="G39" s="797"/>
      <c r="H39" s="797"/>
      <c r="I39" s="797"/>
      <c r="J39" s="797"/>
      <c r="K39" s="797"/>
      <c r="L39" s="797"/>
      <c r="M39" s="797"/>
      <c r="N39" s="797"/>
      <c r="O39" s="797"/>
      <c r="P39" s="797"/>
      <c r="Q39" s="797"/>
      <c r="R39" s="797"/>
      <c r="S39" s="797"/>
      <c r="T39" s="797"/>
      <c r="U39" s="797"/>
      <c r="V39" s="797"/>
      <c r="W39" s="797"/>
      <c r="X39" s="797"/>
      <c r="Y39" s="797"/>
      <c r="Z39" s="797"/>
      <c r="AA39" s="797"/>
      <c r="AB39" s="798"/>
      <c r="AC39" s="799" t="s">
        <v>245</v>
      </c>
      <c r="AD39" s="800"/>
      <c r="AE39" s="800"/>
      <c r="AF39" s="801"/>
      <c r="AG39" s="466">
        <f>TRUNC(301.73/1.2031,2)</f>
        <v>250.79</v>
      </c>
      <c r="AH39" s="467"/>
      <c r="AI39" s="467"/>
      <c r="AJ39" s="468"/>
      <c r="AK39" s="737">
        <v>0.06</v>
      </c>
      <c r="AL39" s="738"/>
      <c r="AM39" s="738"/>
      <c r="AN39" s="739"/>
      <c r="AO39" s="740">
        <f t="shared" si="0"/>
        <v>15.05</v>
      </c>
      <c r="AP39" s="741"/>
      <c r="AQ39" s="741"/>
      <c r="AR39" s="742"/>
    </row>
    <row r="40" spans="3:44" ht="18" customHeight="1">
      <c r="C40" s="758" t="s">
        <v>1377</v>
      </c>
      <c r="D40" s="759"/>
      <c r="E40" s="760"/>
      <c r="F40" s="796" t="s">
        <v>372</v>
      </c>
      <c r="G40" s="797"/>
      <c r="H40" s="797"/>
      <c r="I40" s="797"/>
      <c r="J40" s="797"/>
      <c r="K40" s="797"/>
      <c r="L40" s="797"/>
      <c r="M40" s="797"/>
      <c r="N40" s="797"/>
      <c r="O40" s="797"/>
      <c r="P40" s="797"/>
      <c r="Q40" s="797"/>
      <c r="R40" s="797"/>
      <c r="S40" s="797"/>
      <c r="T40" s="797"/>
      <c r="U40" s="797"/>
      <c r="V40" s="797"/>
      <c r="W40" s="797"/>
      <c r="X40" s="797"/>
      <c r="Y40" s="797"/>
      <c r="Z40" s="797"/>
      <c r="AA40" s="797"/>
      <c r="AB40" s="798"/>
      <c r="AC40" s="799" t="s">
        <v>245</v>
      </c>
      <c r="AD40" s="800"/>
      <c r="AE40" s="800"/>
      <c r="AF40" s="801"/>
      <c r="AG40" s="466">
        <f>TRUNC(373.21/1.2031,2)</f>
        <v>310.2</v>
      </c>
      <c r="AH40" s="467"/>
      <c r="AI40" s="467"/>
      <c r="AJ40" s="468"/>
      <c r="AK40" s="737">
        <v>0.02</v>
      </c>
      <c r="AL40" s="738"/>
      <c r="AM40" s="738"/>
      <c r="AN40" s="739"/>
      <c r="AO40" s="740">
        <f t="shared" si="0"/>
        <v>6.2</v>
      </c>
      <c r="AP40" s="741"/>
      <c r="AQ40" s="741"/>
      <c r="AR40" s="742"/>
    </row>
    <row r="41" spans="3:44" ht="18" customHeight="1">
      <c r="C41" s="758" t="s">
        <v>1378</v>
      </c>
      <c r="D41" s="759"/>
      <c r="E41" s="760"/>
      <c r="F41" s="796" t="s">
        <v>630</v>
      </c>
      <c r="G41" s="797"/>
      <c r="H41" s="797"/>
      <c r="I41" s="797"/>
      <c r="J41" s="797"/>
      <c r="K41" s="797"/>
      <c r="L41" s="797"/>
      <c r="M41" s="797"/>
      <c r="N41" s="797"/>
      <c r="O41" s="797"/>
      <c r="P41" s="797"/>
      <c r="Q41" s="797"/>
      <c r="R41" s="797"/>
      <c r="S41" s="797"/>
      <c r="T41" s="797"/>
      <c r="U41" s="797"/>
      <c r="V41" s="797"/>
      <c r="W41" s="797"/>
      <c r="X41" s="797"/>
      <c r="Y41" s="797"/>
      <c r="Z41" s="797"/>
      <c r="AA41" s="797"/>
      <c r="AB41" s="798"/>
      <c r="AC41" s="799" t="s">
        <v>245</v>
      </c>
      <c r="AD41" s="800"/>
      <c r="AE41" s="800"/>
      <c r="AF41" s="801"/>
      <c r="AG41" s="466">
        <f>TRUNC(407.48/1.2031,2)</f>
        <v>338.69</v>
      </c>
      <c r="AH41" s="467"/>
      <c r="AI41" s="467"/>
      <c r="AJ41" s="468"/>
      <c r="AK41" s="737">
        <v>0.05</v>
      </c>
      <c r="AL41" s="738"/>
      <c r="AM41" s="738"/>
      <c r="AN41" s="739"/>
      <c r="AO41" s="740">
        <f t="shared" si="0"/>
        <v>16.93</v>
      </c>
      <c r="AP41" s="741"/>
      <c r="AQ41" s="741"/>
      <c r="AR41" s="742"/>
    </row>
    <row r="42" spans="3:44" ht="18" customHeight="1">
      <c r="C42" s="758" t="s">
        <v>781</v>
      </c>
      <c r="D42" s="759"/>
      <c r="E42" s="760"/>
      <c r="F42" s="796" t="s">
        <v>782</v>
      </c>
      <c r="G42" s="797"/>
      <c r="H42" s="797"/>
      <c r="I42" s="797"/>
      <c r="J42" s="797"/>
      <c r="K42" s="797"/>
      <c r="L42" s="797"/>
      <c r="M42" s="797"/>
      <c r="N42" s="797"/>
      <c r="O42" s="797"/>
      <c r="P42" s="797"/>
      <c r="Q42" s="797"/>
      <c r="R42" s="797"/>
      <c r="S42" s="797"/>
      <c r="T42" s="797"/>
      <c r="U42" s="797"/>
      <c r="V42" s="797"/>
      <c r="W42" s="797"/>
      <c r="X42" s="797"/>
      <c r="Y42" s="797"/>
      <c r="Z42" s="797"/>
      <c r="AA42" s="797"/>
      <c r="AB42" s="798"/>
      <c r="AC42" s="799" t="s">
        <v>309</v>
      </c>
      <c r="AD42" s="800"/>
      <c r="AE42" s="800"/>
      <c r="AF42" s="801"/>
      <c r="AG42" s="466">
        <f>TRUNC(60.08/1.2031,2)</f>
        <v>49.93</v>
      </c>
      <c r="AH42" s="467"/>
      <c r="AI42" s="467"/>
      <c r="AJ42" s="468"/>
      <c r="AK42" s="737">
        <v>3</v>
      </c>
      <c r="AL42" s="738"/>
      <c r="AM42" s="738"/>
      <c r="AN42" s="739"/>
      <c r="AO42" s="740">
        <f t="shared" si="0"/>
        <v>149.79</v>
      </c>
      <c r="AP42" s="741"/>
      <c r="AQ42" s="741"/>
      <c r="AR42" s="742"/>
    </row>
    <row r="43" spans="3:44" ht="18" customHeight="1">
      <c r="C43" s="758" t="s">
        <v>783</v>
      </c>
      <c r="D43" s="759"/>
      <c r="E43" s="760"/>
      <c r="F43" s="796" t="s">
        <v>784</v>
      </c>
      <c r="G43" s="797"/>
      <c r="H43" s="797"/>
      <c r="I43" s="797"/>
      <c r="J43" s="797"/>
      <c r="K43" s="797"/>
      <c r="L43" s="797"/>
      <c r="M43" s="797"/>
      <c r="N43" s="797"/>
      <c r="O43" s="797"/>
      <c r="P43" s="797"/>
      <c r="Q43" s="797"/>
      <c r="R43" s="797"/>
      <c r="S43" s="797"/>
      <c r="T43" s="797"/>
      <c r="U43" s="797"/>
      <c r="V43" s="797"/>
      <c r="W43" s="797"/>
      <c r="X43" s="797"/>
      <c r="Y43" s="797"/>
      <c r="Z43" s="797"/>
      <c r="AA43" s="797"/>
      <c r="AB43" s="798"/>
      <c r="AC43" s="799" t="s">
        <v>245</v>
      </c>
      <c r="AD43" s="800"/>
      <c r="AE43" s="800"/>
      <c r="AF43" s="801"/>
      <c r="AG43" s="466">
        <f>TRUNC(57.3/1.2031,2)</f>
        <v>47.62</v>
      </c>
      <c r="AH43" s="467"/>
      <c r="AI43" s="467"/>
      <c r="AJ43" s="468"/>
      <c r="AK43" s="737">
        <v>0.2</v>
      </c>
      <c r="AL43" s="738"/>
      <c r="AM43" s="738"/>
      <c r="AN43" s="739"/>
      <c r="AO43" s="740">
        <f t="shared" si="0"/>
        <v>9.52</v>
      </c>
      <c r="AP43" s="741"/>
      <c r="AQ43" s="741"/>
      <c r="AR43" s="742"/>
    </row>
    <row r="44" spans="3:44" ht="18" customHeight="1">
      <c r="C44" s="758"/>
      <c r="D44" s="759"/>
      <c r="E44" s="760"/>
      <c r="F44" s="796"/>
      <c r="G44" s="797"/>
      <c r="H44" s="797"/>
      <c r="I44" s="797"/>
      <c r="J44" s="797"/>
      <c r="K44" s="797"/>
      <c r="L44" s="797"/>
      <c r="M44" s="797"/>
      <c r="N44" s="797"/>
      <c r="O44" s="797"/>
      <c r="P44" s="797"/>
      <c r="Q44" s="797"/>
      <c r="R44" s="797"/>
      <c r="S44" s="797"/>
      <c r="T44" s="797"/>
      <c r="U44" s="797"/>
      <c r="V44" s="797"/>
      <c r="W44" s="797"/>
      <c r="X44" s="797"/>
      <c r="Y44" s="797"/>
      <c r="Z44" s="797"/>
      <c r="AA44" s="797"/>
      <c r="AB44" s="798"/>
      <c r="AC44" s="799"/>
      <c r="AD44" s="800"/>
      <c r="AE44" s="800"/>
      <c r="AF44" s="801"/>
      <c r="AG44" s="466"/>
      <c r="AH44" s="467"/>
      <c r="AI44" s="467"/>
      <c r="AJ44" s="468"/>
      <c r="AK44" s="737"/>
      <c r="AL44" s="738"/>
      <c r="AM44" s="738"/>
      <c r="AN44" s="739"/>
      <c r="AO44" s="740"/>
      <c r="AP44" s="741"/>
      <c r="AQ44" s="741"/>
      <c r="AR44" s="742"/>
    </row>
    <row r="45" spans="3:44" ht="18" customHeight="1">
      <c r="C45" s="743"/>
      <c r="D45" s="744"/>
      <c r="E45" s="744"/>
      <c r="F45" s="744"/>
      <c r="G45" s="744"/>
      <c r="H45" s="744"/>
      <c r="I45" s="744"/>
      <c r="J45" s="744"/>
      <c r="K45" s="744"/>
      <c r="L45" s="744"/>
      <c r="M45" s="744"/>
      <c r="N45" s="744"/>
      <c r="O45" s="744"/>
      <c r="P45" s="744"/>
      <c r="Q45" s="744"/>
      <c r="R45" s="744"/>
      <c r="S45" s="744"/>
      <c r="T45" s="744"/>
      <c r="U45" s="744"/>
      <c r="V45" s="744"/>
      <c r="W45" s="744"/>
      <c r="X45" s="744"/>
      <c r="Y45" s="745" t="s">
        <v>88</v>
      </c>
      <c r="Z45" s="745"/>
      <c r="AA45" s="745"/>
      <c r="AB45" s="745"/>
      <c r="AC45" s="745"/>
      <c r="AD45" s="745"/>
      <c r="AE45" s="745"/>
      <c r="AF45" s="745"/>
      <c r="AG45" s="745"/>
      <c r="AH45" s="745"/>
      <c r="AI45" s="745"/>
      <c r="AJ45" s="745"/>
      <c r="AK45" s="745"/>
      <c r="AL45" s="745"/>
      <c r="AM45" s="745"/>
      <c r="AN45" s="430"/>
      <c r="AO45" s="477">
        <f>SUM(AO37:AR44)</f>
        <v>244.14000000000001</v>
      </c>
      <c r="AP45" s="746"/>
      <c r="AQ45" s="746"/>
      <c r="AR45" s="747"/>
    </row>
    <row r="47" spans="3:44" ht="18" customHeight="1">
      <c r="C47" s="794" t="s">
        <v>43</v>
      </c>
      <c r="D47" s="774"/>
      <c r="E47" s="775"/>
      <c r="F47" s="773" t="s">
        <v>89</v>
      </c>
      <c r="G47" s="774"/>
      <c r="H47" s="774"/>
      <c r="I47" s="774"/>
      <c r="J47" s="774"/>
      <c r="K47" s="774"/>
      <c r="L47" s="774"/>
      <c r="M47" s="774"/>
      <c r="N47" s="774"/>
      <c r="O47" s="774"/>
      <c r="P47" s="774"/>
      <c r="Q47" s="774"/>
      <c r="R47" s="775"/>
      <c r="S47" s="773" t="s">
        <v>90</v>
      </c>
      <c r="T47" s="774"/>
      <c r="U47" s="775"/>
      <c r="V47" s="773" t="s">
        <v>91</v>
      </c>
      <c r="W47" s="774"/>
      <c r="X47" s="775"/>
      <c r="Y47" s="773" t="s">
        <v>92</v>
      </c>
      <c r="Z47" s="774"/>
      <c r="AA47" s="774"/>
      <c r="AB47" s="774"/>
      <c r="AC47" s="774"/>
      <c r="AD47" s="775"/>
      <c r="AE47" s="773" t="s">
        <v>93</v>
      </c>
      <c r="AF47" s="774"/>
      <c r="AG47" s="775"/>
      <c r="AH47" s="773" t="s">
        <v>94</v>
      </c>
      <c r="AI47" s="774"/>
      <c r="AJ47" s="775"/>
      <c r="AK47" s="773" t="s">
        <v>86</v>
      </c>
      <c r="AL47" s="774"/>
      <c r="AM47" s="774"/>
      <c r="AN47" s="775"/>
      <c r="AO47" s="773" t="s">
        <v>87</v>
      </c>
      <c r="AP47" s="774"/>
      <c r="AQ47" s="774"/>
      <c r="AR47" s="779"/>
    </row>
    <row r="48" spans="3:44" ht="18" customHeight="1">
      <c r="C48" s="795"/>
      <c r="D48" s="777"/>
      <c r="E48" s="778"/>
      <c r="F48" s="776"/>
      <c r="G48" s="777"/>
      <c r="H48" s="777"/>
      <c r="I48" s="777"/>
      <c r="J48" s="777"/>
      <c r="K48" s="777"/>
      <c r="L48" s="777"/>
      <c r="M48" s="777"/>
      <c r="N48" s="777"/>
      <c r="O48" s="777"/>
      <c r="P48" s="777"/>
      <c r="Q48" s="777"/>
      <c r="R48" s="778"/>
      <c r="S48" s="776"/>
      <c r="T48" s="777"/>
      <c r="U48" s="778"/>
      <c r="V48" s="776"/>
      <c r="W48" s="777"/>
      <c r="X48" s="778"/>
      <c r="Y48" s="776"/>
      <c r="Z48" s="777"/>
      <c r="AA48" s="777"/>
      <c r="AB48" s="777"/>
      <c r="AC48" s="777"/>
      <c r="AD48" s="778"/>
      <c r="AE48" s="776"/>
      <c r="AF48" s="777"/>
      <c r="AG48" s="778"/>
      <c r="AH48" s="776"/>
      <c r="AI48" s="777"/>
      <c r="AJ48" s="778"/>
      <c r="AK48" s="776"/>
      <c r="AL48" s="777"/>
      <c r="AM48" s="777"/>
      <c r="AN48" s="778"/>
      <c r="AO48" s="776"/>
      <c r="AP48" s="777"/>
      <c r="AQ48" s="777"/>
      <c r="AR48" s="780"/>
    </row>
    <row r="49" spans="1:44" ht="18" customHeight="1">
      <c r="C49" s="781"/>
      <c r="D49" s="782"/>
      <c r="E49" s="783"/>
      <c r="F49" s="457"/>
      <c r="G49" s="457"/>
      <c r="H49" s="457"/>
      <c r="I49" s="457"/>
      <c r="J49" s="457"/>
      <c r="K49" s="457"/>
      <c r="L49" s="457"/>
      <c r="M49" s="457"/>
      <c r="N49" s="457"/>
      <c r="O49" s="457"/>
      <c r="P49" s="457"/>
      <c r="Q49" s="457"/>
      <c r="R49" s="457"/>
      <c r="S49" s="784"/>
      <c r="T49" s="785"/>
      <c r="U49" s="786"/>
      <c r="V49" s="784"/>
      <c r="W49" s="785"/>
      <c r="X49" s="786"/>
      <c r="Y49" s="787"/>
      <c r="Z49" s="788"/>
      <c r="AA49" s="788"/>
      <c r="AB49" s="788"/>
      <c r="AC49" s="788"/>
      <c r="AD49" s="789"/>
      <c r="AE49" s="449"/>
      <c r="AF49" s="449"/>
      <c r="AG49" s="449"/>
      <c r="AH49" s="770"/>
      <c r="AI49" s="771"/>
      <c r="AJ49" s="790"/>
      <c r="AK49" s="791"/>
      <c r="AL49" s="792"/>
      <c r="AM49" s="792"/>
      <c r="AN49" s="793"/>
      <c r="AO49" s="770"/>
      <c r="AP49" s="771"/>
      <c r="AQ49" s="771"/>
      <c r="AR49" s="772"/>
    </row>
    <row r="50" spans="1:44" ht="18" customHeight="1">
      <c r="C50" s="758"/>
      <c r="D50" s="759"/>
      <c r="E50" s="760"/>
      <c r="F50" s="761"/>
      <c r="G50" s="762"/>
      <c r="H50" s="762"/>
      <c r="I50" s="762"/>
      <c r="J50" s="762"/>
      <c r="K50" s="762"/>
      <c r="L50" s="762"/>
      <c r="M50" s="762"/>
      <c r="N50" s="762"/>
      <c r="O50" s="762"/>
      <c r="P50" s="762"/>
      <c r="Q50" s="762"/>
      <c r="R50" s="763"/>
      <c r="S50" s="764"/>
      <c r="T50" s="765"/>
      <c r="U50" s="766"/>
      <c r="V50" s="764"/>
      <c r="W50" s="765"/>
      <c r="X50" s="766"/>
      <c r="Y50" s="767"/>
      <c r="Z50" s="768"/>
      <c r="AA50" s="768"/>
      <c r="AB50" s="768"/>
      <c r="AC50" s="768"/>
      <c r="AD50" s="769"/>
      <c r="AE50" s="740"/>
      <c r="AF50" s="741"/>
      <c r="AG50" s="757"/>
      <c r="AH50" s="740"/>
      <c r="AI50" s="741"/>
      <c r="AJ50" s="757"/>
      <c r="AK50" s="737"/>
      <c r="AL50" s="738"/>
      <c r="AM50" s="738"/>
      <c r="AN50" s="739"/>
      <c r="AO50" s="740"/>
      <c r="AP50" s="741"/>
      <c r="AQ50" s="741"/>
      <c r="AR50" s="742"/>
    </row>
    <row r="51" spans="1:44" ht="18" customHeight="1">
      <c r="C51" s="758"/>
      <c r="D51" s="759"/>
      <c r="E51" s="760"/>
      <c r="F51" s="761"/>
      <c r="G51" s="762"/>
      <c r="H51" s="762"/>
      <c r="I51" s="762"/>
      <c r="J51" s="762"/>
      <c r="K51" s="762"/>
      <c r="L51" s="762"/>
      <c r="M51" s="762"/>
      <c r="N51" s="762"/>
      <c r="O51" s="762"/>
      <c r="P51" s="762"/>
      <c r="Q51" s="762"/>
      <c r="R51" s="763"/>
      <c r="S51" s="764"/>
      <c r="T51" s="765"/>
      <c r="U51" s="766"/>
      <c r="V51" s="764"/>
      <c r="W51" s="765"/>
      <c r="X51" s="766"/>
      <c r="Y51" s="767"/>
      <c r="Z51" s="768"/>
      <c r="AA51" s="768"/>
      <c r="AB51" s="768"/>
      <c r="AC51" s="768"/>
      <c r="AD51" s="769"/>
      <c r="AE51" s="740"/>
      <c r="AF51" s="741"/>
      <c r="AG51" s="757"/>
      <c r="AH51" s="740"/>
      <c r="AI51" s="741"/>
      <c r="AJ51" s="757"/>
      <c r="AK51" s="737"/>
      <c r="AL51" s="738"/>
      <c r="AM51" s="738"/>
      <c r="AN51" s="739"/>
      <c r="AO51" s="740">
        <f t="shared" ref="AO51:AO56" si="1">ROUND(AE51*AH51*AK51,2)</f>
        <v>0</v>
      </c>
      <c r="AP51" s="741"/>
      <c r="AQ51" s="741"/>
      <c r="AR51" s="742"/>
    </row>
    <row r="52" spans="1:44" ht="18" customHeight="1">
      <c r="C52" s="758"/>
      <c r="D52" s="759"/>
      <c r="E52" s="760"/>
      <c r="F52" s="761"/>
      <c r="G52" s="762"/>
      <c r="H52" s="762"/>
      <c r="I52" s="762"/>
      <c r="J52" s="762"/>
      <c r="K52" s="762"/>
      <c r="L52" s="762"/>
      <c r="M52" s="762"/>
      <c r="N52" s="762"/>
      <c r="O52" s="762"/>
      <c r="P52" s="762"/>
      <c r="Q52" s="762"/>
      <c r="R52" s="763"/>
      <c r="S52" s="764"/>
      <c r="T52" s="765"/>
      <c r="U52" s="766"/>
      <c r="V52" s="764"/>
      <c r="W52" s="765"/>
      <c r="X52" s="766"/>
      <c r="Y52" s="767"/>
      <c r="Z52" s="768"/>
      <c r="AA52" s="768"/>
      <c r="AB52" s="768"/>
      <c r="AC52" s="768"/>
      <c r="AD52" s="769"/>
      <c r="AE52" s="740"/>
      <c r="AF52" s="741"/>
      <c r="AG52" s="757"/>
      <c r="AH52" s="740"/>
      <c r="AI52" s="741"/>
      <c r="AJ52" s="757"/>
      <c r="AK52" s="737"/>
      <c r="AL52" s="738"/>
      <c r="AM52" s="738"/>
      <c r="AN52" s="739"/>
      <c r="AO52" s="740">
        <f t="shared" si="1"/>
        <v>0</v>
      </c>
      <c r="AP52" s="741"/>
      <c r="AQ52" s="741"/>
      <c r="AR52" s="742"/>
    </row>
    <row r="53" spans="1:44" ht="18" customHeight="1">
      <c r="C53" s="758"/>
      <c r="D53" s="759"/>
      <c r="E53" s="760"/>
      <c r="F53" s="761"/>
      <c r="G53" s="762"/>
      <c r="H53" s="762"/>
      <c r="I53" s="762"/>
      <c r="J53" s="762"/>
      <c r="K53" s="762"/>
      <c r="L53" s="762"/>
      <c r="M53" s="762"/>
      <c r="N53" s="762"/>
      <c r="O53" s="762"/>
      <c r="P53" s="762"/>
      <c r="Q53" s="762"/>
      <c r="R53" s="763"/>
      <c r="S53" s="764"/>
      <c r="T53" s="765"/>
      <c r="U53" s="766"/>
      <c r="V53" s="764"/>
      <c r="W53" s="765"/>
      <c r="X53" s="766"/>
      <c r="Y53" s="767"/>
      <c r="Z53" s="768"/>
      <c r="AA53" s="768"/>
      <c r="AB53" s="768"/>
      <c r="AC53" s="768"/>
      <c r="AD53" s="769"/>
      <c r="AE53" s="740"/>
      <c r="AF53" s="741"/>
      <c r="AG53" s="757"/>
      <c r="AH53" s="740"/>
      <c r="AI53" s="741"/>
      <c r="AJ53" s="757"/>
      <c r="AK53" s="737"/>
      <c r="AL53" s="738"/>
      <c r="AM53" s="738"/>
      <c r="AN53" s="739"/>
      <c r="AO53" s="740">
        <f t="shared" si="1"/>
        <v>0</v>
      </c>
      <c r="AP53" s="741"/>
      <c r="AQ53" s="741"/>
      <c r="AR53" s="742"/>
    </row>
    <row r="54" spans="1:44" ht="18" customHeight="1">
      <c r="C54" s="758"/>
      <c r="D54" s="759"/>
      <c r="E54" s="760"/>
      <c r="F54" s="761"/>
      <c r="G54" s="762"/>
      <c r="H54" s="762"/>
      <c r="I54" s="762"/>
      <c r="J54" s="762"/>
      <c r="K54" s="762"/>
      <c r="L54" s="762"/>
      <c r="M54" s="762"/>
      <c r="N54" s="762"/>
      <c r="O54" s="762"/>
      <c r="P54" s="762"/>
      <c r="Q54" s="762"/>
      <c r="R54" s="763"/>
      <c r="S54" s="764"/>
      <c r="T54" s="765"/>
      <c r="U54" s="766"/>
      <c r="V54" s="764"/>
      <c r="W54" s="765"/>
      <c r="X54" s="766"/>
      <c r="Y54" s="767"/>
      <c r="Z54" s="768"/>
      <c r="AA54" s="768"/>
      <c r="AB54" s="768"/>
      <c r="AC54" s="768"/>
      <c r="AD54" s="769"/>
      <c r="AE54" s="740"/>
      <c r="AF54" s="741"/>
      <c r="AG54" s="757"/>
      <c r="AH54" s="740"/>
      <c r="AI54" s="741"/>
      <c r="AJ54" s="757"/>
      <c r="AK54" s="737"/>
      <c r="AL54" s="738"/>
      <c r="AM54" s="738"/>
      <c r="AN54" s="739"/>
      <c r="AO54" s="740">
        <f t="shared" si="1"/>
        <v>0</v>
      </c>
      <c r="AP54" s="741"/>
      <c r="AQ54" s="741"/>
      <c r="AR54" s="742"/>
    </row>
    <row r="55" spans="1:44" ht="18" customHeight="1">
      <c r="C55" s="758"/>
      <c r="D55" s="759"/>
      <c r="E55" s="760"/>
      <c r="F55" s="761"/>
      <c r="G55" s="762"/>
      <c r="H55" s="762"/>
      <c r="I55" s="762"/>
      <c r="J55" s="762"/>
      <c r="K55" s="762"/>
      <c r="L55" s="762"/>
      <c r="M55" s="762"/>
      <c r="N55" s="762"/>
      <c r="O55" s="762"/>
      <c r="P55" s="762"/>
      <c r="Q55" s="762"/>
      <c r="R55" s="763"/>
      <c r="S55" s="764"/>
      <c r="T55" s="765"/>
      <c r="U55" s="766"/>
      <c r="V55" s="764"/>
      <c r="W55" s="765"/>
      <c r="X55" s="766"/>
      <c r="Y55" s="767"/>
      <c r="Z55" s="768"/>
      <c r="AA55" s="768"/>
      <c r="AB55" s="768"/>
      <c r="AC55" s="768"/>
      <c r="AD55" s="769"/>
      <c r="AE55" s="740"/>
      <c r="AF55" s="741"/>
      <c r="AG55" s="757"/>
      <c r="AH55" s="740"/>
      <c r="AI55" s="741"/>
      <c r="AJ55" s="757"/>
      <c r="AK55" s="737"/>
      <c r="AL55" s="738"/>
      <c r="AM55" s="738"/>
      <c r="AN55" s="739"/>
      <c r="AO55" s="740">
        <f t="shared" si="1"/>
        <v>0</v>
      </c>
      <c r="AP55" s="741"/>
      <c r="AQ55" s="741"/>
      <c r="AR55" s="742"/>
    </row>
    <row r="56" spans="1:44" ht="18" customHeight="1">
      <c r="C56" s="758"/>
      <c r="D56" s="759"/>
      <c r="E56" s="760"/>
      <c r="F56" s="761"/>
      <c r="G56" s="762"/>
      <c r="H56" s="762"/>
      <c r="I56" s="762"/>
      <c r="J56" s="762"/>
      <c r="K56" s="762"/>
      <c r="L56" s="762"/>
      <c r="M56" s="762"/>
      <c r="N56" s="762"/>
      <c r="O56" s="762"/>
      <c r="P56" s="762"/>
      <c r="Q56" s="762"/>
      <c r="R56" s="763"/>
      <c r="S56" s="764"/>
      <c r="T56" s="765"/>
      <c r="U56" s="766"/>
      <c r="V56" s="764"/>
      <c r="W56" s="765"/>
      <c r="X56" s="766"/>
      <c r="Y56" s="767"/>
      <c r="Z56" s="768"/>
      <c r="AA56" s="768"/>
      <c r="AB56" s="768"/>
      <c r="AC56" s="768"/>
      <c r="AD56" s="769"/>
      <c r="AE56" s="740"/>
      <c r="AF56" s="741"/>
      <c r="AG56" s="757"/>
      <c r="AH56" s="740"/>
      <c r="AI56" s="741"/>
      <c r="AJ56" s="757"/>
      <c r="AK56" s="737"/>
      <c r="AL56" s="738"/>
      <c r="AM56" s="738"/>
      <c r="AN56" s="739"/>
      <c r="AO56" s="740">
        <f t="shared" si="1"/>
        <v>0</v>
      </c>
      <c r="AP56" s="741"/>
      <c r="AQ56" s="741"/>
      <c r="AR56" s="742"/>
    </row>
    <row r="57" spans="1:44" ht="18" customHeight="1">
      <c r="C57" s="743"/>
      <c r="D57" s="744"/>
      <c r="E57" s="744"/>
      <c r="F57" s="744"/>
      <c r="G57" s="744"/>
      <c r="H57" s="744"/>
      <c r="I57" s="744"/>
      <c r="J57" s="744"/>
      <c r="K57" s="744"/>
      <c r="L57" s="744"/>
      <c r="M57" s="744"/>
      <c r="N57" s="744"/>
      <c r="O57" s="744"/>
      <c r="P57" s="744"/>
      <c r="Q57" s="744"/>
      <c r="R57" s="744"/>
      <c r="S57" s="744"/>
      <c r="T57" s="744"/>
      <c r="U57" s="744"/>
      <c r="V57" s="744"/>
      <c r="W57" s="744"/>
      <c r="X57" s="744"/>
      <c r="Y57" s="745" t="s">
        <v>95</v>
      </c>
      <c r="Z57" s="745"/>
      <c r="AA57" s="745"/>
      <c r="AB57" s="745"/>
      <c r="AC57" s="745"/>
      <c r="AD57" s="745"/>
      <c r="AE57" s="745"/>
      <c r="AF57" s="745"/>
      <c r="AG57" s="745"/>
      <c r="AH57" s="745"/>
      <c r="AI57" s="745"/>
      <c r="AJ57" s="745"/>
      <c r="AK57" s="745"/>
      <c r="AL57" s="745"/>
      <c r="AM57" s="745"/>
      <c r="AN57" s="430"/>
      <c r="AO57" s="477">
        <f>SUM(AO49:AR56)</f>
        <v>0</v>
      </c>
      <c r="AP57" s="746"/>
      <c r="AQ57" s="746"/>
      <c r="AR57" s="747"/>
    </row>
    <row r="59" spans="1:44" ht="18" customHeight="1">
      <c r="C59" s="434"/>
      <c r="D59" s="434"/>
      <c r="E59" s="434"/>
      <c r="F59" s="434"/>
      <c r="G59" s="434"/>
      <c r="H59" s="434"/>
      <c r="I59" s="434"/>
      <c r="J59" s="434"/>
      <c r="K59" s="434"/>
      <c r="L59" s="434"/>
      <c r="M59" s="434"/>
      <c r="N59" s="434"/>
      <c r="O59" s="434"/>
      <c r="P59" s="434"/>
      <c r="Q59" s="434"/>
      <c r="R59" s="434"/>
      <c r="S59" s="434"/>
      <c r="T59" s="434"/>
      <c r="U59" s="434"/>
      <c r="V59" s="434"/>
      <c r="W59" s="434"/>
      <c r="X59" s="748"/>
      <c r="Y59" s="749" t="s">
        <v>96</v>
      </c>
      <c r="Z59" s="750"/>
      <c r="AA59" s="750"/>
      <c r="AB59" s="750"/>
      <c r="AC59" s="750"/>
      <c r="AD59" s="750"/>
      <c r="AE59" s="750"/>
      <c r="AF59" s="750"/>
      <c r="AG59" s="750"/>
      <c r="AH59" s="750"/>
      <c r="AI59" s="750"/>
      <c r="AJ59" s="750"/>
      <c r="AK59" s="750"/>
      <c r="AL59" s="750"/>
      <c r="AM59" s="750"/>
      <c r="AN59" s="751"/>
      <c r="AO59" s="752">
        <f>AO33+AO45+AO57</f>
        <v>299.54000000000002</v>
      </c>
      <c r="AP59" s="753"/>
      <c r="AQ59" s="753"/>
      <c r="AR59" s="754"/>
    </row>
    <row r="60" spans="1:44" ht="18" customHeight="1">
      <c r="C60" s="434"/>
      <c r="D60" s="434"/>
      <c r="E60" s="434"/>
      <c r="F60" s="434"/>
      <c r="G60" s="434"/>
      <c r="H60" s="434"/>
      <c r="I60" s="434"/>
      <c r="J60" s="434"/>
      <c r="K60" s="434"/>
      <c r="L60" s="434"/>
      <c r="M60" s="434"/>
      <c r="N60" s="434"/>
      <c r="O60" s="434"/>
      <c r="P60" s="434"/>
      <c r="Q60" s="434"/>
      <c r="R60" s="434"/>
      <c r="S60" s="434"/>
      <c r="T60" s="434"/>
      <c r="U60" s="434"/>
      <c r="V60" s="434"/>
      <c r="W60" s="434"/>
      <c r="X60" s="748"/>
      <c r="Y60" s="755" t="s">
        <v>97</v>
      </c>
      <c r="Z60" s="756"/>
      <c r="AA60" s="756"/>
      <c r="AB60" s="756"/>
      <c r="AC60" s="756"/>
      <c r="AD60" s="756"/>
      <c r="AE60" s="756"/>
      <c r="AF60" s="756"/>
      <c r="AG60" s="756"/>
      <c r="AH60" s="442">
        <v>0.2031</v>
      </c>
      <c r="AI60" s="442"/>
      <c r="AJ60" s="442"/>
      <c r="AK60" s="442"/>
      <c r="AL60" s="442"/>
      <c r="AM60" s="442"/>
      <c r="AN60" s="443"/>
      <c r="AO60" s="728">
        <f>ROUND(AO59*AH60,2)</f>
        <v>60.84</v>
      </c>
      <c r="AP60" s="729"/>
      <c r="AQ60" s="729"/>
      <c r="AR60" s="730"/>
    </row>
    <row r="61" spans="1:44" ht="18" customHeight="1">
      <c r="A61" s="415" t="s">
        <v>785</v>
      </c>
      <c r="B61" s="415"/>
      <c r="C61" s="434"/>
      <c r="D61" s="434"/>
      <c r="E61" s="434"/>
      <c r="F61" s="434"/>
      <c r="G61" s="434"/>
      <c r="H61" s="434"/>
      <c r="I61" s="434"/>
      <c r="J61" s="434"/>
      <c r="K61" s="434"/>
      <c r="L61" s="434"/>
      <c r="M61" s="434"/>
      <c r="N61" s="434"/>
      <c r="O61" s="434"/>
      <c r="P61" s="434"/>
      <c r="Q61" s="434"/>
      <c r="R61" s="434"/>
      <c r="S61" s="434"/>
      <c r="T61" s="434"/>
      <c r="U61" s="434"/>
      <c r="V61" s="434"/>
      <c r="W61" s="434"/>
      <c r="X61" s="748"/>
      <c r="Y61" s="731" t="s">
        <v>98</v>
      </c>
      <c r="Z61" s="732"/>
      <c r="AA61" s="732"/>
      <c r="AB61" s="732"/>
      <c r="AC61" s="732"/>
      <c r="AD61" s="732"/>
      <c r="AE61" s="732"/>
      <c r="AF61" s="732"/>
      <c r="AG61" s="732"/>
      <c r="AH61" s="732"/>
      <c r="AI61" s="732"/>
      <c r="AJ61" s="732"/>
      <c r="AK61" s="732"/>
      <c r="AL61" s="732"/>
      <c r="AM61" s="732"/>
      <c r="AN61" s="733"/>
      <c r="AO61" s="734">
        <f>SUM(AO59:AR60)</f>
        <v>360.38</v>
      </c>
      <c r="AP61" s="735"/>
      <c r="AQ61" s="735"/>
      <c r="AR61" s="736"/>
    </row>
    <row r="63" spans="1:44" ht="18" customHeight="1">
      <c r="C63" s="420" t="s">
        <v>99</v>
      </c>
      <c r="D63" s="421"/>
      <c r="E63" s="421"/>
      <c r="F63" s="421"/>
      <c r="G63" s="421"/>
      <c r="H63" s="421"/>
      <c r="I63" s="422"/>
      <c r="J63" s="422"/>
      <c r="K63" s="422"/>
      <c r="L63" s="422"/>
      <c r="M63" s="422"/>
      <c r="N63" s="422"/>
      <c r="O63" s="422"/>
      <c r="P63" s="422"/>
      <c r="Q63" s="422"/>
      <c r="R63" s="422"/>
      <c r="S63" s="422"/>
      <c r="T63" s="422"/>
      <c r="U63" s="422"/>
      <c r="V63" s="422"/>
      <c r="W63" s="422"/>
      <c r="X63" s="422"/>
      <c r="Y63" s="422"/>
      <c r="Z63" s="422"/>
      <c r="AA63" s="422"/>
      <c r="AB63" s="422"/>
      <c r="AC63" s="422"/>
      <c r="AD63" s="422"/>
      <c r="AE63" s="422"/>
      <c r="AF63" s="422"/>
      <c r="AG63" s="422"/>
      <c r="AH63" s="422"/>
      <c r="AI63" s="422"/>
      <c r="AJ63" s="422"/>
      <c r="AK63" s="422"/>
      <c r="AL63" s="422"/>
      <c r="AM63" s="422"/>
      <c r="AN63" s="422"/>
      <c r="AO63" s="422"/>
      <c r="AP63" s="422"/>
      <c r="AQ63" s="422"/>
      <c r="AR63" s="423"/>
    </row>
    <row r="64" spans="1:44" ht="18" customHeight="1">
      <c r="C64" s="411"/>
      <c r="D64" s="412"/>
      <c r="E64" s="412"/>
      <c r="F64" s="412"/>
      <c r="G64" s="412"/>
      <c r="H64" s="412"/>
      <c r="I64" s="409"/>
      <c r="J64" s="409"/>
      <c r="K64" s="409"/>
      <c r="L64" s="409"/>
      <c r="M64" s="409"/>
      <c r="N64" s="409"/>
      <c r="O64" s="409"/>
      <c r="P64" s="409"/>
      <c r="Q64" s="409"/>
      <c r="R64" s="409"/>
      <c r="S64" s="409"/>
      <c r="T64" s="409"/>
      <c r="U64" s="409"/>
      <c r="V64" s="409"/>
      <c r="W64" s="409"/>
      <c r="X64" s="409"/>
      <c r="Y64" s="409"/>
      <c r="Z64" s="409"/>
      <c r="AA64" s="409"/>
      <c r="AB64" s="409"/>
      <c r="AC64" s="409"/>
      <c r="AD64" s="409"/>
      <c r="AE64" s="409"/>
      <c r="AF64" s="409"/>
      <c r="AG64" s="409"/>
      <c r="AH64" s="409"/>
      <c r="AI64" s="409"/>
      <c r="AJ64" s="409"/>
      <c r="AK64" s="409"/>
      <c r="AL64" s="409"/>
      <c r="AM64" s="409"/>
      <c r="AN64" s="409"/>
      <c r="AO64" s="409"/>
      <c r="AP64" s="409"/>
      <c r="AQ64" s="409"/>
      <c r="AR64" s="410"/>
    </row>
    <row r="65" spans="3:44" ht="18" customHeight="1">
      <c r="C65" s="411"/>
      <c r="D65" s="412"/>
      <c r="E65" s="412"/>
      <c r="F65" s="412"/>
      <c r="G65" s="412"/>
      <c r="H65" s="412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409"/>
      <c r="AC65" s="409"/>
      <c r="AD65" s="409"/>
      <c r="AE65" s="409"/>
      <c r="AF65" s="409"/>
      <c r="AG65" s="409"/>
      <c r="AH65" s="409"/>
      <c r="AI65" s="409"/>
      <c r="AJ65" s="409"/>
      <c r="AK65" s="409"/>
      <c r="AL65" s="409"/>
      <c r="AM65" s="409"/>
      <c r="AN65" s="409"/>
      <c r="AO65" s="409"/>
      <c r="AP65" s="409"/>
      <c r="AQ65" s="409"/>
      <c r="AR65" s="410"/>
    </row>
    <row r="66" spans="3:44" ht="18" customHeight="1">
      <c r="C66" s="411"/>
      <c r="D66" s="412"/>
      <c r="E66" s="412"/>
      <c r="F66" s="412"/>
      <c r="G66" s="412"/>
      <c r="H66" s="412"/>
      <c r="I66" s="409"/>
      <c r="J66" s="409"/>
      <c r="K66" s="409"/>
      <c r="L66" s="409"/>
      <c r="M66" s="409"/>
      <c r="N66" s="409"/>
      <c r="O66" s="409"/>
      <c r="P66" s="409"/>
      <c r="Q66" s="409"/>
      <c r="R66" s="409"/>
      <c r="S66" s="409"/>
      <c r="T66" s="409"/>
      <c r="U66" s="409"/>
      <c r="V66" s="409"/>
      <c r="W66" s="409"/>
      <c r="X66" s="409"/>
      <c r="Y66" s="409"/>
      <c r="Z66" s="409"/>
      <c r="AA66" s="409"/>
      <c r="AB66" s="409"/>
      <c r="AC66" s="409"/>
      <c r="AD66" s="409"/>
      <c r="AE66" s="409"/>
      <c r="AF66" s="409"/>
      <c r="AG66" s="409"/>
      <c r="AH66" s="409"/>
      <c r="AI66" s="409"/>
      <c r="AJ66" s="409"/>
      <c r="AK66" s="409"/>
      <c r="AL66" s="409"/>
      <c r="AM66" s="409"/>
      <c r="AN66" s="409"/>
      <c r="AO66" s="409"/>
      <c r="AP66" s="409"/>
      <c r="AQ66" s="409"/>
      <c r="AR66" s="410"/>
    </row>
    <row r="67" spans="3:44" ht="18" customHeight="1">
      <c r="C67" s="411"/>
      <c r="D67" s="412"/>
      <c r="E67" s="412"/>
      <c r="F67" s="412"/>
      <c r="G67" s="412"/>
      <c r="H67" s="412"/>
      <c r="I67" s="409"/>
      <c r="J67" s="409"/>
      <c r="K67" s="409"/>
      <c r="L67" s="409"/>
      <c r="M67" s="409"/>
      <c r="N67" s="409"/>
      <c r="O67" s="409"/>
      <c r="P67" s="409"/>
      <c r="Q67" s="409"/>
      <c r="R67" s="409"/>
      <c r="S67" s="409"/>
      <c r="T67" s="409"/>
      <c r="U67" s="409"/>
      <c r="V67" s="409"/>
      <c r="W67" s="409"/>
      <c r="X67" s="409"/>
      <c r="Y67" s="409"/>
      <c r="Z67" s="409"/>
      <c r="AA67" s="409"/>
      <c r="AB67" s="409"/>
      <c r="AC67" s="409"/>
      <c r="AD67" s="409"/>
      <c r="AE67" s="409"/>
      <c r="AF67" s="409"/>
      <c r="AG67" s="409"/>
      <c r="AH67" s="409"/>
      <c r="AI67" s="409"/>
      <c r="AJ67" s="409"/>
      <c r="AK67" s="409"/>
      <c r="AL67" s="409"/>
      <c r="AM67" s="409"/>
      <c r="AN67" s="409"/>
      <c r="AO67" s="409"/>
      <c r="AP67" s="409"/>
      <c r="AQ67" s="409"/>
      <c r="AR67" s="410"/>
    </row>
    <row r="68" spans="3:44" ht="18" customHeight="1">
      <c r="C68" s="385"/>
      <c r="D68" s="386"/>
      <c r="E68" s="386"/>
      <c r="F68" s="386"/>
      <c r="G68" s="386"/>
      <c r="H68" s="386"/>
      <c r="I68" s="387"/>
      <c r="J68" s="387"/>
      <c r="K68" s="387"/>
      <c r="L68" s="387"/>
      <c r="M68" s="387"/>
      <c r="N68" s="387"/>
      <c r="O68" s="387"/>
      <c r="P68" s="387"/>
      <c r="Q68" s="387"/>
      <c r="R68" s="387"/>
      <c r="S68" s="387"/>
      <c r="T68" s="387"/>
      <c r="U68" s="387"/>
      <c r="V68" s="387"/>
      <c r="W68" s="387"/>
      <c r="X68" s="387"/>
      <c r="Y68" s="387"/>
      <c r="Z68" s="387"/>
      <c r="AA68" s="387"/>
      <c r="AB68" s="387"/>
      <c r="AC68" s="387"/>
      <c r="AD68" s="387"/>
      <c r="AE68" s="387"/>
      <c r="AF68" s="387"/>
      <c r="AG68" s="387"/>
      <c r="AH68" s="387"/>
      <c r="AI68" s="387"/>
      <c r="AJ68" s="387"/>
      <c r="AK68" s="387"/>
      <c r="AL68" s="387"/>
      <c r="AM68" s="387"/>
      <c r="AN68" s="387"/>
      <c r="AO68" s="387"/>
      <c r="AP68" s="387"/>
      <c r="AQ68" s="387"/>
      <c r="AR68" s="388"/>
    </row>
    <row r="70" spans="3:44" ht="18" customHeight="1">
      <c r="C70" s="389" t="s">
        <v>100</v>
      </c>
      <c r="D70" s="390"/>
      <c r="E70" s="390"/>
      <c r="F70" s="390"/>
      <c r="G70" s="390"/>
      <c r="H70" s="390"/>
      <c r="I70" s="390"/>
      <c r="J70" s="390"/>
      <c r="K70" s="390"/>
      <c r="L70" s="390"/>
      <c r="M70" s="390"/>
      <c r="N70" s="390"/>
      <c r="O70" s="390"/>
      <c r="P70" s="390"/>
      <c r="Q70" s="390"/>
      <c r="R70" s="390"/>
      <c r="S70" s="390"/>
      <c r="T70" s="390"/>
      <c r="U70" s="390"/>
      <c r="V70" s="390"/>
      <c r="W70" s="390"/>
      <c r="X70" s="390"/>
      <c r="Y70" s="390"/>
      <c r="Z70" s="390"/>
      <c r="AA70" s="391"/>
      <c r="AB70" s="392" t="str">
        <f>[4]C.UNIT.SERV.!$E$5</f>
        <v>DATA-BASE:      MAIO/2011/PR</v>
      </c>
      <c r="AC70" s="393"/>
      <c r="AD70" s="393"/>
      <c r="AE70" s="393"/>
      <c r="AF70" s="393"/>
      <c r="AG70" s="393"/>
      <c r="AH70" s="393"/>
      <c r="AI70" s="394"/>
      <c r="AJ70" s="392"/>
      <c r="AK70" s="393"/>
      <c r="AL70" s="393"/>
      <c r="AM70" s="393"/>
      <c r="AN70" s="393"/>
      <c r="AO70" s="393"/>
      <c r="AP70" s="393"/>
      <c r="AQ70" s="393"/>
      <c r="AR70" s="401"/>
    </row>
    <row r="71" spans="3:44" ht="18" customHeight="1">
      <c r="C71" s="404" t="s">
        <v>101</v>
      </c>
      <c r="D71" s="405"/>
      <c r="E71" s="405"/>
      <c r="F71" s="405"/>
      <c r="G71" s="405" t="s">
        <v>283</v>
      </c>
      <c r="H71" s="405"/>
      <c r="I71" s="405"/>
      <c r="J71" s="405"/>
      <c r="K71" s="405"/>
      <c r="L71" s="405"/>
      <c r="M71" s="405"/>
      <c r="N71" s="405"/>
      <c r="O71" s="405"/>
      <c r="P71" s="405"/>
      <c r="Q71" s="405"/>
      <c r="R71" s="405"/>
      <c r="S71" s="405"/>
      <c r="T71" s="405"/>
      <c r="U71" s="405"/>
      <c r="V71" s="405"/>
      <c r="W71" s="405"/>
      <c r="X71" s="405"/>
      <c r="Y71" s="405"/>
      <c r="Z71" s="405"/>
      <c r="AA71" s="406"/>
      <c r="AB71" s="395"/>
      <c r="AC71" s="396"/>
      <c r="AD71" s="396"/>
      <c r="AE71" s="396"/>
      <c r="AF71" s="396"/>
      <c r="AG71" s="396"/>
      <c r="AH71" s="396"/>
      <c r="AI71" s="397"/>
      <c r="AJ71" s="395"/>
      <c r="AK71" s="396"/>
      <c r="AL71" s="396"/>
      <c r="AM71" s="396"/>
      <c r="AN71" s="396"/>
      <c r="AO71" s="396"/>
      <c r="AP71" s="396"/>
      <c r="AQ71" s="396"/>
      <c r="AR71" s="402"/>
    </row>
    <row r="72" spans="3:44" ht="18" customHeight="1">
      <c r="C72" s="404" t="s">
        <v>102</v>
      </c>
      <c r="D72" s="405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5"/>
      <c r="Q72" s="405"/>
      <c r="R72" s="405"/>
      <c r="S72" s="405"/>
      <c r="T72" s="405"/>
      <c r="U72" s="405"/>
      <c r="V72" s="405"/>
      <c r="W72" s="405"/>
      <c r="X72" s="405"/>
      <c r="Y72" s="405"/>
      <c r="Z72" s="405"/>
      <c r="AA72" s="406"/>
      <c r="AB72" s="395"/>
      <c r="AC72" s="396"/>
      <c r="AD72" s="396"/>
      <c r="AE72" s="396"/>
      <c r="AF72" s="396"/>
      <c r="AG72" s="396"/>
      <c r="AH72" s="396"/>
      <c r="AI72" s="397"/>
      <c r="AJ72" s="395"/>
      <c r="AK72" s="396"/>
      <c r="AL72" s="396"/>
      <c r="AM72" s="396"/>
      <c r="AN72" s="396"/>
      <c r="AO72" s="396"/>
      <c r="AP72" s="396"/>
      <c r="AQ72" s="396"/>
      <c r="AR72" s="402"/>
    </row>
    <row r="73" spans="3:44" ht="18" customHeight="1">
      <c r="C73" s="407"/>
      <c r="D73" s="408"/>
      <c r="E73" s="408"/>
      <c r="F73" s="408"/>
      <c r="G73" s="408"/>
      <c r="H73" s="408"/>
      <c r="I73" s="408"/>
      <c r="J73" s="408"/>
      <c r="K73" s="408"/>
      <c r="L73" s="408"/>
      <c r="M73" s="408"/>
      <c r="N73" s="408"/>
      <c r="O73" s="408"/>
      <c r="P73" s="408"/>
      <c r="Q73" s="408"/>
      <c r="R73" s="408"/>
      <c r="S73" s="408"/>
      <c r="T73" s="408"/>
      <c r="U73" s="408"/>
      <c r="V73" s="408"/>
      <c r="W73" s="408"/>
      <c r="X73" s="408"/>
      <c r="Y73" s="408"/>
      <c r="Z73" s="408"/>
      <c r="AA73" s="408"/>
      <c r="AB73" s="398"/>
      <c r="AC73" s="399"/>
      <c r="AD73" s="399"/>
      <c r="AE73" s="399"/>
      <c r="AF73" s="399"/>
      <c r="AG73" s="399"/>
      <c r="AH73" s="399"/>
      <c r="AI73" s="400"/>
      <c r="AJ73" s="398"/>
      <c r="AK73" s="399"/>
      <c r="AL73" s="399"/>
      <c r="AM73" s="399"/>
      <c r="AN73" s="399"/>
      <c r="AO73" s="399"/>
      <c r="AP73" s="399"/>
      <c r="AQ73" s="399"/>
      <c r="AR73" s="403"/>
    </row>
    <row r="75" spans="3:44" ht="18" customHeight="1">
      <c r="C75" s="850" t="s">
        <v>64</v>
      </c>
      <c r="D75" s="851"/>
      <c r="E75" s="851"/>
      <c r="F75" s="851"/>
      <c r="G75" s="851"/>
      <c r="H75" s="851"/>
      <c r="I75" s="851"/>
      <c r="J75" s="851"/>
      <c r="K75" s="851"/>
      <c r="L75" s="851"/>
      <c r="M75" s="851"/>
      <c r="N75" s="851"/>
      <c r="O75" s="851"/>
      <c r="P75" s="851"/>
      <c r="Q75" s="851"/>
      <c r="R75" s="851"/>
      <c r="S75" s="851"/>
      <c r="T75" s="851"/>
      <c r="U75" s="851"/>
      <c r="V75" s="851"/>
      <c r="W75" s="851"/>
      <c r="X75" s="851"/>
      <c r="Y75" s="851"/>
      <c r="Z75" s="851"/>
      <c r="AA75" s="851"/>
      <c r="AB75" s="851"/>
      <c r="AC75" s="851"/>
      <c r="AD75" s="851"/>
      <c r="AE75" s="851"/>
      <c r="AF75" s="851"/>
      <c r="AG75" s="851"/>
      <c r="AH75" s="851"/>
      <c r="AI75" s="851"/>
      <c r="AJ75" s="851"/>
      <c r="AK75" s="851"/>
      <c r="AL75" s="851"/>
      <c r="AM75" s="851"/>
      <c r="AN75" s="851"/>
      <c r="AO75" s="851"/>
      <c r="AP75" s="851"/>
      <c r="AQ75" s="851"/>
      <c r="AR75" s="852"/>
    </row>
    <row r="76" spans="3:44" ht="18" customHeight="1">
      <c r="C76" s="853"/>
      <c r="D76" s="854"/>
      <c r="E76" s="854"/>
      <c r="F76" s="854"/>
      <c r="G76" s="854"/>
      <c r="H76" s="854"/>
      <c r="I76" s="854"/>
      <c r="J76" s="854"/>
      <c r="K76" s="854"/>
      <c r="L76" s="854"/>
      <c r="M76" s="854"/>
      <c r="N76" s="854"/>
      <c r="O76" s="854"/>
      <c r="P76" s="854"/>
      <c r="Q76" s="854"/>
      <c r="R76" s="854"/>
      <c r="S76" s="854"/>
      <c r="T76" s="854"/>
      <c r="U76" s="854"/>
      <c r="V76" s="854"/>
      <c r="W76" s="854"/>
      <c r="X76" s="854"/>
      <c r="Y76" s="854"/>
      <c r="Z76" s="854"/>
      <c r="AA76" s="854"/>
      <c r="AB76" s="854"/>
      <c r="AC76" s="854"/>
      <c r="AD76" s="854"/>
      <c r="AE76" s="854"/>
      <c r="AF76" s="854"/>
      <c r="AG76" s="854"/>
      <c r="AH76" s="854"/>
      <c r="AI76" s="854"/>
      <c r="AJ76" s="854"/>
      <c r="AK76" s="854"/>
      <c r="AL76" s="854"/>
      <c r="AM76" s="854"/>
      <c r="AN76" s="854"/>
      <c r="AO76" s="854"/>
      <c r="AP76" s="854"/>
      <c r="AQ76" s="854"/>
      <c r="AR76" s="855"/>
    </row>
    <row r="77" spans="3:44" ht="18" customHeight="1">
      <c r="C77" s="856" t="s">
        <v>65</v>
      </c>
      <c r="D77" s="857"/>
      <c r="E77" s="857"/>
      <c r="F77" s="857"/>
      <c r="G77" s="860" t="s">
        <v>776</v>
      </c>
      <c r="H77" s="860"/>
      <c r="I77" s="860"/>
      <c r="J77" s="861"/>
      <c r="K77" s="864" t="s">
        <v>66</v>
      </c>
      <c r="L77" s="865"/>
      <c r="M77" s="865"/>
      <c r="N77" s="865"/>
      <c r="O77" s="526" t="s">
        <v>786</v>
      </c>
      <c r="P77" s="526"/>
      <c r="Q77" s="526"/>
      <c r="R77" s="526"/>
      <c r="S77" s="526"/>
      <c r="T77" s="526"/>
      <c r="U77" s="526"/>
      <c r="V77" s="526"/>
      <c r="W77" s="526"/>
      <c r="X77" s="526"/>
      <c r="Y77" s="526"/>
      <c r="Z77" s="526"/>
      <c r="AA77" s="526"/>
      <c r="AB77" s="526"/>
      <c r="AC77" s="526"/>
      <c r="AD77" s="526"/>
      <c r="AE77" s="526"/>
      <c r="AF77" s="526"/>
      <c r="AG77" s="526"/>
      <c r="AH77" s="526"/>
      <c r="AI77" s="526"/>
      <c r="AJ77" s="526"/>
      <c r="AK77" s="527"/>
      <c r="AL77" s="864" t="s">
        <v>67</v>
      </c>
      <c r="AM77" s="865"/>
      <c r="AN77" s="865"/>
      <c r="AO77" s="865"/>
      <c r="AP77" s="843" t="s">
        <v>194</v>
      </c>
      <c r="AQ77" s="843"/>
      <c r="AR77" s="844"/>
    </row>
    <row r="78" spans="3:44" ht="18" customHeight="1">
      <c r="C78" s="858"/>
      <c r="D78" s="859"/>
      <c r="E78" s="859"/>
      <c r="F78" s="859"/>
      <c r="G78" s="862"/>
      <c r="H78" s="862"/>
      <c r="I78" s="862"/>
      <c r="J78" s="863"/>
      <c r="K78" s="866"/>
      <c r="L78" s="867"/>
      <c r="M78" s="867"/>
      <c r="N78" s="867"/>
      <c r="O78" s="528"/>
      <c r="P78" s="528"/>
      <c r="Q78" s="528"/>
      <c r="R78" s="528"/>
      <c r="S78" s="528"/>
      <c r="T78" s="528"/>
      <c r="U78" s="528"/>
      <c r="V78" s="528"/>
      <c r="W78" s="528"/>
      <c r="X78" s="528"/>
      <c r="Y78" s="528"/>
      <c r="Z78" s="528"/>
      <c r="AA78" s="528"/>
      <c r="AB78" s="528"/>
      <c r="AC78" s="528"/>
      <c r="AD78" s="528"/>
      <c r="AE78" s="528"/>
      <c r="AF78" s="528"/>
      <c r="AG78" s="528"/>
      <c r="AH78" s="528"/>
      <c r="AI78" s="528"/>
      <c r="AJ78" s="528"/>
      <c r="AK78" s="529"/>
      <c r="AL78" s="866"/>
      <c r="AM78" s="867"/>
      <c r="AN78" s="867"/>
      <c r="AO78" s="867"/>
      <c r="AP78" s="845"/>
      <c r="AQ78" s="845"/>
      <c r="AR78" s="846"/>
    </row>
    <row r="80" spans="3:44" ht="18" customHeight="1">
      <c r="C80" s="794" t="s">
        <v>43</v>
      </c>
      <c r="D80" s="774"/>
      <c r="E80" s="775"/>
      <c r="F80" s="773" t="s">
        <v>68</v>
      </c>
      <c r="G80" s="774"/>
      <c r="H80" s="774"/>
      <c r="I80" s="774"/>
      <c r="J80" s="774"/>
      <c r="K80" s="774"/>
      <c r="L80" s="774"/>
      <c r="M80" s="774"/>
      <c r="N80" s="774"/>
      <c r="O80" s="774"/>
      <c r="P80" s="774"/>
      <c r="Q80" s="774"/>
      <c r="R80" s="774"/>
      <c r="S80" s="774"/>
      <c r="T80" s="774"/>
      <c r="U80" s="775"/>
      <c r="V80" s="773" t="s">
        <v>249</v>
      </c>
      <c r="W80" s="774"/>
      <c r="X80" s="775"/>
      <c r="Y80" s="847" t="s">
        <v>69</v>
      </c>
      <c r="Z80" s="848"/>
      <c r="AA80" s="848"/>
      <c r="AB80" s="848"/>
      <c r="AC80" s="848"/>
      <c r="AD80" s="848"/>
      <c r="AE80" s="848"/>
      <c r="AF80" s="849"/>
      <c r="AG80" s="847" t="s">
        <v>70</v>
      </c>
      <c r="AH80" s="848"/>
      <c r="AI80" s="848"/>
      <c r="AJ80" s="848"/>
      <c r="AK80" s="848"/>
      <c r="AL80" s="848"/>
      <c r="AM80" s="848"/>
      <c r="AN80" s="849"/>
      <c r="AO80" s="773" t="s">
        <v>71</v>
      </c>
      <c r="AP80" s="774"/>
      <c r="AQ80" s="774"/>
      <c r="AR80" s="779"/>
    </row>
    <row r="81" spans="3:44" ht="18" customHeight="1">
      <c r="C81" s="795"/>
      <c r="D81" s="777"/>
      <c r="E81" s="778"/>
      <c r="F81" s="776"/>
      <c r="G81" s="777"/>
      <c r="H81" s="777"/>
      <c r="I81" s="777"/>
      <c r="J81" s="777"/>
      <c r="K81" s="777"/>
      <c r="L81" s="777"/>
      <c r="M81" s="777"/>
      <c r="N81" s="777"/>
      <c r="O81" s="777"/>
      <c r="P81" s="777"/>
      <c r="Q81" s="777"/>
      <c r="R81" s="777"/>
      <c r="S81" s="777"/>
      <c r="T81" s="777"/>
      <c r="U81" s="778"/>
      <c r="V81" s="776"/>
      <c r="W81" s="777"/>
      <c r="X81" s="778"/>
      <c r="Y81" s="834" t="s">
        <v>72</v>
      </c>
      <c r="Z81" s="835"/>
      <c r="AA81" s="835"/>
      <c r="AB81" s="836"/>
      <c r="AC81" s="834" t="s">
        <v>73</v>
      </c>
      <c r="AD81" s="835"/>
      <c r="AE81" s="835"/>
      <c r="AF81" s="836"/>
      <c r="AG81" s="834" t="s">
        <v>72</v>
      </c>
      <c r="AH81" s="835"/>
      <c r="AI81" s="835"/>
      <c r="AJ81" s="836"/>
      <c r="AK81" s="834" t="s">
        <v>73</v>
      </c>
      <c r="AL81" s="835"/>
      <c r="AM81" s="835"/>
      <c r="AN81" s="836"/>
      <c r="AO81" s="776"/>
      <c r="AP81" s="777"/>
      <c r="AQ81" s="777"/>
      <c r="AR81" s="780"/>
    </row>
    <row r="82" spans="3:44" ht="18" customHeight="1">
      <c r="C82" s="781"/>
      <c r="D82" s="782"/>
      <c r="E82" s="783"/>
      <c r="F82" s="493"/>
      <c r="G82" s="493"/>
      <c r="H82" s="493"/>
      <c r="I82" s="493"/>
      <c r="J82" s="493"/>
      <c r="K82" s="493"/>
      <c r="L82" s="493"/>
      <c r="M82" s="493"/>
      <c r="N82" s="493"/>
      <c r="O82" s="493"/>
      <c r="P82" s="493"/>
      <c r="Q82" s="493"/>
      <c r="R82" s="493"/>
      <c r="S82" s="493"/>
      <c r="T82" s="493"/>
      <c r="U82" s="493"/>
      <c r="V82" s="837"/>
      <c r="W82" s="838"/>
      <c r="X82" s="839"/>
      <c r="Y82" s="837"/>
      <c r="Z82" s="838"/>
      <c r="AA82" s="838"/>
      <c r="AB82" s="839"/>
      <c r="AC82" s="868"/>
      <c r="AD82" s="869"/>
      <c r="AE82" s="869"/>
      <c r="AF82" s="870"/>
      <c r="AG82" s="491"/>
      <c r="AH82" s="491"/>
      <c r="AI82" s="491"/>
      <c r="AJ82" s="491"/>
      <c r="AK82" s="491"/>
      <c r="AL82" s="491"/>
      <c r="AM82" s="491"/>
      <c r="AN82" s="491"/>
      <c r="AO82" s="491"/>
      <c r="AP82" s="491"/>
      <c r="AQ82" s="491"/>
      <c r="AR82" s="492"/>
    </row>
    <row r="83" spans="3:44" ht="18" customHeight="1">
      <c r="C83" s="758"/>
      <c r="D83" s="759"/>
      <c r="E83" s="760"/>
      <c r="F83" s="493"/>
      <c r="G83" s="493"/>
      <c r="H83" s="493"/>
      <c r="I83" s="493"/>
      <c r="J83" s="493"/>
      <c r="K83" s="493"/>
      <c r="L83" s="493"/>
      <c r="M83" s="493"/>
      <c r="N83" s="493"/>
      <c r="O83" s="493"/>
      <c r="P83" s="493"/>
      <c r="Q83" s="493"/>
      <c r="R83" s="493"/>
      <c r="S83" s="493"/>
      <c r="T83" s="493"/>
      <c r="U83" s="493"/>
      <c r="V83" s="466"/>
      <c r="W83" s="467"/>
      <c r="X83" s="468"/>
      <c r="Y83" s="466"/>
      <c r="Z83" s="467"/>
      <c r="AA83" s="467"/>
      <c r="AB83" s="468"/>
      <c r="AC83" s="828"/>
      <c r="AD83" s="829"/>
      <c r="AE83" s="829"/>
      <c r="AF83" s="830"/>
      <c r="AG83" s="491"/>
      <c r="AH83" s="491"/>
      <c r="AI83" s="491"/>
      <c r="AJ83" s="491"/>
      <c r="AK83" s="491"/>
      <c r="AL83" s="491"/>
      <c r="AM83" s="491"/>
      <c r="AN83" s="491"/>
      <c r="AO83" s="491"/>
      <c r="AP83" s="491"/>
      <c r="AQ83" s="491"/>
      <c r="AR83" s="492"/>
    </row>
    <row r="84" spans="3:44" ht="18" customHeight="1">
      <c r="C84" s="758"/>
      <c r="D84" s="759"/>
      <c r="E84" s="760"/>
      <c r="F84" s="493"/>
      <c r="G84" s="493"/>
      <c r="H84" s="493"/>
      <c r="I84" s="493"/>
      <c r="J84" s="493"/>
      <c r="K84" s="493"/>
      <c r="L84" s="493"/>
      <c r="M84" s="493"/>
      <c r="N84" s="493"/>
      <c r="O84" s="493"/>
      <c r="P84" s="493"/>
      <c r="Q84" s="493"/>
      <c r="R84" s="493"/>
      <c r="S84" s="493"/>
      <c r="T84" s="493"/>
      <c r="U84" s="493"/>
      <c r="V84" s="466"/>
      <c r="W84" s="467"/>
      <c r="X84" s="468"/>
      <c r="Y84" s="466"/>
      <c r="Z84" s="467"/>
      <c r="AA84" s="467"/>
      <c r="AB84" s="468"/>
      <c r="AC84" s="828"/>
      <c r="AD84" s="829"/>
      <c r="AE84" s="829"/>
      <c r="AF84" s="830"/>
      <c r="AG84" s="491"/>
      <c r="AH84" s="491"/>
      <c r="AI84" s="491"/>
      <c r="AJ84" s="491"/>
      <c r="AK84" s="491"/>
      <c r="AL84" s="491"/>
      <c r="AM84" s="491"/>
      <c r="AN84" s="491"/>
      <c r="AO84" s="491"/>
      <c r="AP84" s="491"/>
      <c r="AQ84" s="491"/>
      <c r="AR84" s="492"/>
    </row>
    <row r="85" spans="3:44" ht="18" customHeight="1">
      <c r="C85" s="758"/>
      <c r="D85" s="759"/>
      <c r="E85" s="760"/>
      <c r="F85" s="493"/>
      <c r="G85" s="493"/>
      <c r="H85" s="493"/>
      <c r="I85" s="493"/>
      <c r="J85" s="493"/>
      <c r="K85" s="493"/>
      <c r="L85" s="493"/>
      <c r="M85" s="493"/>
      <c r="N85" s="493"/>
      <c r="O85" s="493"/>
      <c r="P85" s="493"/>
      <c r="Q85" s="493"/>
      <c r="R85" s="493"/>
      <c r="S85" s="493"/>
      <c r="T85" s="493"/>
      <c r="U85" s="493"/>
      <c r="V85" s="466"/>
      <c r="W85" s="467"/>
      <c r="X85" s="468"/>
      <c r="Y85" s="466"/>
      <c r="Z85" s="467"/>
      <c r="AA85" s="467"/>
      <c r="AB85" s="468"/>
      <c r="AC85" s="828"/>
      <c r="AD85" s="829"/>
      <c r="AE85" s="829"/>
      <c r="AF85" s="830"/>
      <c r="AG85" s="491"/>
      <c r="AH85" s="491"/>
      <c r="AI85" s="491"/>
      <c r="AJ85" s="491"/>
      <c r="AK85" s="491"/>
      <c r="AL85" s="491"/>
      <c r="AM85" s="491"/>
      <c r="AN85" s="491"/>
      <c r="AO85" s="491"/>
      <c r="AP85" s="491"/>
      <c r="AQ85" s="491"/>
      <c r="AR85" s="492"/>
    </row>
    <row r="86" spans="3:44" ht="18" customHeight="1">
      <c r="C86" s="758"/>
      <c r="D86" s="759"/>
      <c r="E86" s="760"/>
      <c r="F86" s="493"/>
      <c r="G86" s="493"/>
      <c r="H86" s="493"/>
      <c r="I86" s="493"/>
      <c r="J86" s="493"/>
      <c r="K86" s="493"/>
      <c r="L86" s="493"/>
      <c r="M86" s="493"/>
      <c r="N86" s="493"/>
      <c r="O86" s="493"/>
      <c r="P86" s="493"/>
      <c r="Q86" s="493"/>
      <c r="R86" s="493"/>
      <c r="S86" s="493"/>
      <c r="T86" s="493"/>
      <c r="U86" s="493"/>
      <c r="V86" s="466"/>
      <c r="W86" s="467"/>
      <c r="X86" s="468"/>
      <c r="Y86" s="466"/>
      <c r="Z86" s="467"/>
      <c r="AA86" s="467"/>
      <c r="AB86" s="468"/>
      <c r="AC86" s="828"/>
      <c r="AD86" s="829"/>
      <c r="AE86" s="829"/>
      <c r="AF86" s="830"/>
      <c r="AG86" s="491"/>
      <c r="AH86" s="491"/>
      <c r="AI86" s="491"/>
      <c r="AJ86" s="491"/>
      <c r="AK86" s="491"/>
      <c r="AL86" s="491"/>
      <c r="AM86" s="491"/>
      <c r="AN86" s="491"/>
      <c r="AO86" s="491"/>
      <c r="AP86" s="491"/>
      <c r="AQ86" s="491"/>
      <c r="AR86" s="492"/>
    </row>
    <row r="87" spans="3:44" ht="18" customHeight="1">
      <c r="C87" s="758"/>
      <c r="D87" s="759"/>
      <c r="E87" s="760"/>
      <c r="F87" s="493"/>
      <c r="G87" s="493"/>
      <c r="H87" s="493"/>
      <c r="I87" s="493"/>
      <c r="J87" s="493"/>
      <c r="K87" s="493"/>
      <c r="L87" s="493"/>
      <c r="M87" s="493"/>
      <c r="N87" s="493"/>
      <c r="O87" s="493"/>
      <c r="P87" s="493"/>
      <c r="Q87" s="493"/>
      <c r="R87" s="493"/>
      <c r="S87" s="493"/>
      <c r="T87" s="493"/>
      <c r="U87" s="493"/>
      <c r="V87" s="466"/>
      <c r="W87" s="467"/>
      <c r="X87" s="468"/>
      <c r="Y87" s="466"/>
      <c r="Z87" s="467"/>
      <c r="AA87" s="467"/>
      <c r="AB87" s="468"/>
      <c r="AC87" s="828"/>
      <c r="AD87" s="829"/>
      <c r="AE87" s="829"/>
      <c r="AF87" s="830"/>
      <c r="AG87" s="491"/>
      <c r="AH87" s="491"/>
      <c r="AI87" s="491"/>
      <c r="AJ87" s="491"/>
      <c r="AK87" s="491"/>
      <c r="AL87" s="491"/>
      <c r="AM87" s="491"/>
      <c r="AN87" s="491"/>
      <c r="AO87" s="491"/>
      <c r="AP87" s="491"/>
      <c r="AQ87" s="491"/>
      <c r="AR87" s="492"/>
    </row>
    <row r="88" spans="3:44" ht="18" customHeight="1">
      <c r="C88" s="758"/>
      <c r="D88" s="759"/>
      <c r="E88" s="760"/>
      <c r="F88" s="796"/>
      <c r="G88" s="797"/>
      <c r="H88" s="797"/>
      <c r="I88" s="797"/>
      <c r="J88" s="797"/>
      <c r="K88" s="797"/>
      <c r="L88" s="797"/>
      <c r="M88" s="797"/>
      <c r="N88" s="797"/>
      <c r="O88" s="797"/>
      <c r="P88" s="797"/>
      <c r="Q88" s="797"/>
      <c r="R88" s="797"/>
      <c r="S88" s="797"/>
      <c r="T88" s="797"/>
      <c r="U88" s="798"/>
      <c r="V88" s="466"/>
      <c r="W88" s="467"/>
      <c r="X88" s="468"/>
      <c r="Y88" s="466"/>
      <c r="Z88" s="467"/>
      <c r="AA88" s="467"/>
      <c r="AB88" s="468"/>
      <c r="AC88" s="828"/>
      <c r="AD88" s="829"/>
      <c r="AE88" s="829"/>
      <c r="AF88" s="830"/>
      <c r="AG88" s="466"/>
      <c r="AH88" s="467"/>
      <c r="AI88" s="467"/>
      <c r="AJ88" s="468"/>
      <c r="AK88" s="466"/>
      <c r="AL88" s="467"/>
      <c r="AM88" s="467"/>
      <c r="AN88" s="468"/>
      <c r="AO88" s="466"/>
      <c r="AP88" s="467"/>
      <c r="AQ88" s="467"/>
      <c r="AR88" s="823"/>
    </row>
    <row r="89" spans="3:44" ht="18" customHeight="1">
      <c r="C89" s="758"/>
      <c r="D89" s="759"/>
      <c r="E89" s="760"/>
      <c r="F89" s="796"/>
      <c r="G89" s="797"/>
      <c r="H89" s="797"/>
      <c r="I89" s="797"/>
      <c r="J89" s="797"/>
      <c r="K89" s="797"/>
      <c r="L89" s="797"/>
      <c r="M89" s="797"/>
      <c r="N89" s="797"/>
      <c r="O89" s="797"/>
      <c r="P89" s="797"/>
      <c r="Q89" s="797"/>
      <c r="R89" s="797"/>
      <c r="S89" s="797"/>
      <c r="T89" s="797"/>
      <c r="U89" s="798"/>
      <c r="V89" s="466"/>
      <c r="W89" s="467"/>
      <c r="X89" s="468"/>
      <c r="Y89" s="466"/>
      <c r="Z89" s="467"/>
      <c r="AA89" s="467"/>
      <c r="AB89" s="468"/>
      <c r="AC89" s="828"/>
      <c r="AD89" s="829"/>
      <c r="AE89" s="829"/>
      <c r="AF89" s="830"/>
      <c r="AG89" s="466"/>
      <c r="AH89" s="467"/>
      <c r="AI89" s="467"/>
      <c r="AJ89" s="468"/>
      <c r="AK89" s="466"/>
      <c r="AL89" s="467"/>
      <c r="AM89" s="467"/>
      <c r="AN89" s="468"/>
      <c r="AO89" s="466"/>
      <c r="AP89" s="467"/>
      <c r="AQ89" s="467"/>
      <c r="AR89" s="823"/>
    </row>
    <row r="90" spans="3:44" ht="18" customHeight="1">
      <c r="C90" s="743"/>
      <c r="D90" s="744"/>
      <c r="E90" s="744"/>
      <c r="F90" s="744"/>
      <c r="G90" s="744"/>
      <c r="H90" s="744"/>
      <c r="I90" s="744"/>
      <c r="J90" s="744"/>
      <c r="K90" s="744"/>
      <c r="L90" s="744"/>
      <c r="M90" s="744"/>
      <c r="N90" s="744"/>
      <c r="O90" s="744"/>
      <c r="P90" s="744"/>
      <c r="Q90" s="744"/>
      <c r="R90" s="744"/>
      <c r="S90" s="744"/>
      <c r="T90" s="744"/>
      <c r="U90" s="744"/>
      <c r="V90" s="744"/>
      <c r="W90" s="744"/>
      <c r="X90" s="824"/>
      <c r="Y90" s="825" t="s">
        <v>74</v>
      </c>
      <c r="Z90" s="826"/>
      <c r="AA90" s="826"/>
      <c r="AB90" s="826"/>
      <c r="AC90" s="826"/>
      <c r="AD90" s="826"/>
      <c r="AE90" s="826"/>
      <c r="AF90" s="826"/>
      <c r="AG90" s="826"/>
      <c r="AH90" s="826"/>
      <c r="AI90" s="826"/>
      <c r="AJ90" s="826"/>
      <c r="AK90" s="826"/>
      <c r="AL90" s="826"/>
      <c r="AM90" s="826"/>
      <c r="AN90" s="827"/>
      <c r="AO90" s="477">
        <f>SUM(AO82:AR89)</f>
        <v>0</v>
      </c>
      <c r="AP90" s="746"/>
      <c r="AQ90" s="746"/>
      <c r="AR90" s="747"/>
    </row>
    <row r="92" spans="3:44" ht="18" customHeight="1">
      <c r="C92" s="794" t="s">
        <v>43</v>
      </c>
      <c r="D92" s="774"/>
      <c r="E92" s="775"/>
      <c r="F92" s="773" t="s">
        <v>75</v>
      </c>
      <c r="G92" s="774"/>
      <c r="H92" s="774"/>
      <c r="I92" s="774"/>
      <c r="J92" s="774"/>
      <c r="K92" s="774"/>
      <c r="L92" s="774"/>
      <c r="M92" s="774"/>
      <c r="N92" s="774"/>
      <c r="O92" s="774"/>
      <c r="P92" s="774"/>
      <c r="Q92" s="774"/>
      <c r="R92" s="774"/>
      <c r="S92" s="774"/>
      <c r="T92" s="774"/>
      <c r="U92" s="774"/>
      <c r="V92" s="774"/>
      <c r="W92" s="774"/>
      <c r="X92" s="774"/>
      <c r="Y92" s="774"/>
      <c r="Z92" s="774"/>
      <c r="AA92" s="774"/>
      <c r="AB92" s="775"/>
      <c r="AC92" s="773" t="s">
        <v>76</v>
      </c>
      <c r="AD92" s="774"/>
      <c r="AE92" s="774"/>
      <c r="AF92" s="775"/>
      <c r="AG92" s="773" t="s">
        <v>249</v>
      </c>
      <c r="AH92" s="774"/>
      <c r="AI92" s="774"/>
      <c r="AJ92" s="775"/>
      <c r="AK92" s="773" t="s">
        <v>77</v>
      </c>
      <c r="AL92" s="774"/>
      <c r="AM92" s="774"/>
      <c r="AN92" s="775"/>
      <c r="AO92" s="773" t="s">
        <v>71</v>
      </c>
      <c r="AP92" s="774"/>
      <c r="AQ92" s="774"/>
      <c r="AR92" s="779"/>
    </row>
    <row r="93" spans="3:44" ht="18" customHeight="1">
      <c r="C93" s="795"/>
      <c r="D93" s="777"/>
      <c r="E93" s="778"/>
      <c r="F93" s="776"/>
      <c r="G93" s="777"/>
      <c r="H93" s="777"/>
      <c r="I93" s="777"/>
      <c r="J93" s="777"/>
      <c r="K93" s="777"/>
      <c r="L93" s="777"/>
      <c r="M93" s="777"/>
      <c r="N93" s="777"/>
      <c r="O93" s="777"/>
      <c r="P93" s="777"/>
      <c r="Q93" s="777"/>
      <c r="R93" s="777"/>
      <c r="S93" s="777"/>
      <c r="T93" s="777"/>
      <c r="U93" s="777"/>
      <c r="V93" s="777"/>
      <c r="W93" s="777"/>
      <c r="X93" s="777"/>
      <c r="Y93" s="777"/>
      <c r="Z93" s="777"/>
      <c r="AA93" s="777"/>
      <c r="AB93" s="778"/>
      <c r="AC93" s="776"/>
      <c r="AD93" s="777"/>
      <c r="AE93" s="777"/>
      <c r="AF93" s="778"/>
      <c r="AG93" s="776"/>
      <c r="AH93" s="777"/>
      <c r="AI93" s="777"/>
      <c r="AJ93" s="778"/>
      <c r="AK93" s="776"/>
      <c r="AL93" s="777"/>
      <c r="AM93" s="777"/>
      <c r="AN93" s="778"/>
      <c r="AO93" s="776"/>
      <c r="AP93" s="777"/>
      <c r="AQ93" s="777"/>
      <c r="AR93" s="780"/>
    </row>
    <row r="94" spans="3:44" ht="18" customHeight="1">
      <c r="C94" s="781" t="s">
        <v>940</v>
      </c>
      <c r="D94" s="782"/>
      <c r="E94" s="783"/>
      <c r="F94" s="493" t="s">
        <v>105</v>
      </c>
      <c r="G94" s="493"/>
      <c r="H94" s="493"/>
      <c r="I94" s="493"/>
      <c r="J94" s="493"/>
      <c r="K94" s="493"/>
      <c r="L94" s="493"/>
      <c r="M94" s="493"/>
      <c r="N94" s="493"/>
      <c r="O94" s="493"/>
      <c r="P94" s="493"/>
      <c r="Q94" s="493"/>
      <c r="R94" s="493"/>
      <c r="S94" s="493"/>
      <c r="T94" s="493"/>
      <c r="U94" s="493"/>
      <c r="V94" s="493"/>
      <c r="W94" s="493"/>
      <c r="X94" s="493"/>
      <c r="Y94" s="493"/>
      <c r="Z94" s="493"/>
      <c r="AA94" s="493"/>
      <c r="AB94" s="493"/>
      <c r="AC94" s="770"/>
      <c r="AD94" s="771"/>
      <c r="AE94" s="771"/>
      <c r="AF94" s="790"/>
      <c r="AG94" s="770">
        <v>1</v>
      </c>
      <c r="AH94" s="771"/>
      <c r="AI94" s="771"/>
      <c r="AJ94" s="790"/>
      <c r="AK94" s="449">
        <f>VLOOKUP(C94,[4]MÃODEOBRA!A$1:D$65536,4,FALSE)</f>
        <v>22.98488</v>
      </c>
      <c r="AL94" s="449"/>
      <c r="AM94" s="449"/>
      <c r="AN94" s="449"/>
      <c r="AO94" s="491">
        <f>ROUND(AG94*AK94,2)</f>
        <v>22.98</v>
      </c>
      <c r="AP94" s="491"/>
      <c r="AQ94" s="491"/>
      <c r="AR94" s="492"/>
    </row>
    <row r="95" spans="3:44" ht="18" customHeight="1">
      <c r="C95" s="758"/>
      <c r="D95" s="759"/>
      <c r="E95" s="760"/>
      <c r="F95" s="493"/>
      <c r="G95" s="493"/>
      <c r="H95" s="493"/>
      <c r="I95" s="493"/>
      <c r="J95" s="493"/>
      <c r="K95" s="493"/>
      <c r="L95" s="493"/>
      <c r="M95" s="493"/>
      <c r="N95" s="493"/>
      <c r="O95" s="493"/>
      <c r="P95" s="493"/>
      <c r="Q95" s="493"/>
      <c r="R95" s="493"/>
      <c r="S95" s="493"/>
      <c r="T95" s="493"/>
      <c r="U95" s="493"/>
      <c r="V95" s="493"/>
      <c r="W95" s="493"/>
      <c r="X95" s="493"/>
      <c r="Y95" s="493"/>
      <c r="Z95" s="493"/>
      <c r="AA95" s="493"/>
      <c r="AB95" s="493"/>
      <c r="AC95" s="740"/>
      <c r="AD95" s="741"/>
      <c r="AE95" s="741"/>
      <c r="AF95" s="757"/>
      <c r="AG95" s="740"/>
      <c r="AH95" s="741"/>
      <c r="AI95" s="741"/>
      <c r="AJ95" s="757"/>
      <c r="AK95" s="449"/>
      <c r="AL95" s="449"/>
      <c r="AM95" s="449"/>
      <c r="AN95" s="449"/>
      <c r="AO95" s="491"/>
      <c r="AP95" s="491"/>
      <c r="AQ95" s="491"/>
      <c r="AR95" s="492"/>
    </row>
    <row r="96" spans="3:44" ht="18" customHeight="1">
      <c r="C96" s="758"/>
      <c r="D96" s="759"/>
      <c r="E96" s="760"/>
      <c r="F96" s="796"/>
      <c r="G96" s="797"/>
      <c r="H96" s="797"/>
      <c r="I96" s="797"/>
      <c r="J96" s="797"/>
      <c r="K96" s="797"/>
      <c r="L96" s="797"/>
      <c r="M96" s="797"/>
      <c r="N96" s="797"/>
      <c r="O96" s="797"/>
      <c r="P96" s="797"/>
      <c r="Q96" s="797"/>
      <c r="R96" s="797"/>
      <c r="S96" s="797"/>
      <c r="T96" s="797"/>
      <c r="U96" s="797"/>
      <c r="V96" s="797"/>
      <c r="W96" s="797"/>
      <c r="X96" s="797"/>
      <c r="Y96" s="797"/>
      <c r="Z96" s="797"/>
      <c r="AA96" s="797"/>
      <c r="AB96" s="798"/>
      <c r="AC96" s="740"/>
      <c r="AD96" s="741"/>
      <c r="AE96" s="741"/>
      <c r="AF96" s="757"/>
      <c r="AG96" s="740"/>
      <c r="AH96" s="741"/>
      <c r="AI96" s="741"/>
      <c r="AJ96" s="757"/>
      <c r="AK96" s="740"/>
      <c r="AL96" s="741"/>
      <c r="AM96" s="741"/>
      <c r="AN96" s="757"/>
      <c r="AO96" s="466"/>
      <c r="AP96" s="467"/>
      <c r="AQ96" s="467"/>
      <c r="AR96" s="823"/>
    </row>
    <row r="97" spans="3:44" ht="18" customHeight="1">
      <c r="C97" s="758"/>
      <c r="D97" s="759"/>
      <c r="E97" s="760"/>
      <c r="F97" s="796"/>
      <c r="G97" s="797"/>
      <c r="H97" s="797"/>
      <c r="I97" s="797"/>
      <c r="J97" s="797"/>
      <c r="K97" s="797"/>
      <c r="L97" s="797"/>
      <c r="M97" s="797"/>
      <c r="N97" s="797"/>
      <c r="O97" s="797"/>
      <c r="P97" s="797"/>
      <c r="Q97" s="797"/>
      <c r="R97" s="797"/>
      <c r="S97" s="797"/>
      <c r="T97" s="797"/>
      <c r="U97" s="797"/>
      <c r="V97" s="797"/>
      <c r="W97" s="797"/>
      <c r="X97" s="797"/>
      <c r="Y97" s="797"/>
      <c r="Z97" s="797"/>
      <c r="AA97" s="797"/>
      <c r="AB97" s="798"/>
      <c r="AC97" s="740"/>
      <c r="AD97" s="741"/>
      <c r="AE97" s="741"/>
      <c r="AF97" s="757"/>
      <c r="AG97" s="740"/>
      <c r="AH97" s="741"/>
      <c r="AI97" s="741"/>
      <c r="AJ97" s="757"/>
      <c r="AK97" s="740"/>
      <c r="AL97" s="741"/>
      <c r="AM97" s="741"/>
      <c r="AN97" s="757"/>
      <c r="AO97" s="466"/>
      <c r="AP97" s="467"/>
      <c r="AQ97" s="467"/>
      <c r="AR97" s="823"/>
    </row>
    <row r="98" spans="3:44" ht="18" customHeight="1">
      <c r="C98" s="758"/>
      <c r="D98" s="759"/>
      <c r="E98" s="760"/>
      <c r="F98" s="796"/>
      <c r="G98" s="797"/>
      <c r="H98" s="797"/>
      <c r="I98" s="797"/>
      <c r="J98" s="797"/>
      <c r="K98" s="797"/>
      <c r="L98" s="797"/>
      <c r="M98" s="797"/>
      <c r="N98" s="797"/>
      <c r="O98" s="797"/>
      <c r="P98" s="797"/>
      <c r="Q98" s="797"/>
      <c r="R98" s="797"/>
      <c r="S98" s="797"/>
      <c r="T98" s="797"/>
      <c r="U98" s="797"/>
      <c r="V98" s="797"/>
      <c r="W98" s="797"/>
      <c r="X98" s="797"/>
      <c r="Y98" s="797"/>
      <c r="Z98" s="797"/>
      <c r="AA98" s="797"/>
      <c r="AB98" s="798"/>
      <c r="AC98" s="740"/>
      <c r="AD98" s="741"/>
      <c r="AE98" s="741"/>
      <c r="AF98" s="757"/>
      <c r="AG98" s="740"/>
      <c r="AH98" s="741"/>
      <c r="AI98" s="741"/>
      <c r="AJ98" s="757"/>
      <c r="AK98" s="740"/>
      <c r="AL98" s="741"/>
      <c r="AM98" s="741"/>
      <c r="AN98" s="757"/>
      <c r="AO98" s="466"/>
      <c r="AP98" s="467"/>
      <c r="AQ98" s="467"/>
      <c r="AR98" s="823"/>
    </row>
    <row r="99" spans="3:44" ht="18" customHeight="1">
      <c r="C99" s="758"/>
      <c r="D99" s="759"/>
      <c r="E99" s="760"/>
      <c r="F99" s="796"/>
      <c r="G99" s="797"/>
      <c r="H99" s="797"/>
      <c r="I99" s="797"/>
      <c r="J99" s="797"/>
      <c r="K99" s="797"/>
      <c r="L99" s="797"/>
      <c r="M99" s="797"/>
      <c r="N99" s="797"/>
      <c r="O99" s="797"/>
      <c r="P99" s="797"/>
      <c r="Q99" s="797"/>
      <c r="R99" s="797"/>
      <c r="S99" s="797"/>
      <c r="T99" s="797"/>
      <c r="U99" s="797"/>
      <c r="V99" s="797"/>
      <c r="W99" s="797"/>
      <c r="X99" s="797"/>
      <c r="Y99" s="797"/>
      <c r="Z99" s="797"/>
      <c r="AA99" s="797"/>
      <c r="AB99" s="798"/>
      <c r="AC99" s="740"/>
      <c r="AD99" s="741"/>
      <c r="AE99" s="741"/>
      <c r="AF99" s="757"/>
      <c r="AG99" s="740"/>
      <c r="AH99" s="741"/>
      <c r="AI99" s="741"/>
      <c r="AJ99" s="757"/>
      <c r="AK99" s="740"/>
      <c r="AL99" s="741"/>
      <c r="AM99" s="741"/>
      <c r="AN99" s="757"/>
      <c r="AO99" s="466"/>
      <c r="AP99" s="467"/>
      <c r="AQ99" s="467"/>
      <c r="AR99" s="823"/>
    </row>
    <row r="100" spans="3:44" ht="18" customHeight="1">
      <c r="C100" s="758"/>
      <c r="D100" s="759"/>
      <c r="E100" s="760"/>
      <c r="F100" s="796"/>
      <c r="G100" s="797"/>
      <c r="H100" s="797"/>
      <c r="I100" s="797"/>
      <c r="J100" s="797"/>
      <c r="K100" s="797"/>
      <c r="L100" s="797"/>
      <c r="M100" s="797"/>
      <c r="N100" s="797"/>
      <c r="O100" s="797"/>
      <c r="P100" s="797"/>
      <c r="Q100" s="797"/>
      <c r="R100" s="797"/>
      <c r="S100" s="797"/>
      <c r="T100" s="797"/>
      <c r="U100" s="797"/>
      <c r="V100" s="797"/>
      <c r="W100" s="797"/>
      <c r="X100" s="797"/>
      <c r="Y100" s="797"/>
      <c r="Z100" s="797"/>
      <c r="AA100" s="797"/>
      <c r="AB100" s="798"/>
      <c r="AC100" s="740"/>
      <c r="AD100" s="741"/>
      <c r="AE100" s="741"/>
      <c r="AF100" s="757"/>
      <c r="AG100" s="740"/>
      <c r="AH100" s="741"/>
      <c r="AI100" s="741"/>
      <c r="AJ100" s="757"/>
      <c r="AK100" s="740"/>
      <c r="AL100" s="741"/>
      <c r="AM100" s="741"/>
      <c r="AN100" s="757"/>
      <c r="AO100" s="466"/>
      <c r="AP100" s="467"/>
      <c r="AQ100" s="467"/>
      <c r="AR100" s="823"/>
    </row>
    <row r="101" spans="3:44" ht="18" customHeight="1">
      <c r="C101" s="758"/>
      <c r="D101" s="759"/>
      <c r="E101" s="760"/>
      <c r="F101" s="796"/>
      <c r="G101" s="797"/>
      <c r="H101" s="797"/>
      <c r="I101" s="797"/>
      <c r="J101" s="797"/>
      <c r="K101" s="797"/>
      <c r="L101" s="797"/>
      <c r="M101" s="797"/>
      <c r="N101" s="797"/>
      <c r="O101" s="797"/>
      <c r="P101" s="797"/>
      <c r="Q101" s="797"/>
      <c r="R101" s="797"/>
      <c r="S101" s="797"/>
      <c r="T101" s="797"/>
      <c r="U101" s="797"/>
      <c r="V101" s="797"/>
      <c r="W101" s="797"/>
      <c r="X101" s="797"/>
      <c r="Y101" s="797"/>
      <c r="Z101" s="797"/>
      <c r="AA101" s="797"/>
      <c r="AB101" s="798"/>
      <c r="AC101" s="740"/>
      <c r="AD101" s="741"/>
      <c r="AE101" s="741"/>
      <c r="AF101" s="757"/>
      <c r="AG101" s="740"/>
      <c r="AH101" s="741"/>
      <c r="AI101" s="741"/>
      <c r="AJ101" s="757"/>
      <c r="AK101" s="740"/>
      <c r="AL101" s="741"/>
      <c r="AM101" s="741"/>
      <c r="AN101" s="757"/>
      <c r="AO101" s="466"/>
      <c r="AP101" s="467"/>
      <c r="AQ101" s="467"/>
      <c r="AR101" s="823"/>
    </row>
    <row r="102" spans="3:44" ht="18" customHeight="1">
      <c r="C102" s="814"/>
      <c r="D102" s="815"/>
      <c r="E102" s="815"/>
      <c r="F102" s="815"/>
      <c r="G102" s="815"/>
      <c r="H102" s="815"/>
      <c r="I102" s="815"/>
      <c r="J102" s="815"/>
      <c r="K102" s="815"/>
      <c r="L102" s="815"/>
      <c r="M102" s="815"/>
      <c r="N102" s="815"/>
      <c r="O102" s="815"/>
      <c r="P102" s="815"/>
      <c r="Q102" s="815"/>
      <c r="R102" s="815"/>
      <c r="S102" s="815"/>
      <c r="T102" s="815"/>
      <c r="U102" s="815"/>
      <c r="V102" s="815"/>
      <c r="W102" s="815"/>
      <c r="X102" s="815"/>
      <c r="Y102" s="816" t="s">
        <v>78</v>
      </c>
      <c r="Z102" s="816"/>
      <c r="AA102" s="816"/>
      <c r="AB102" s="816"/>
      <c r="AC102" s="816"/>
      <c r="AD102" s="816"/>
      <c r="AE102" s="816"/>
      <c r="AF102" s="483"/>
      <c r="AG102" s="817" t="s">
        <v>267</v>
      </c>
      <c r="AH102" s="818"/>
      <c r="AI102" s="818"/>
      <c r="AJ102" s="819"/>
      <c r="AK102" s="466">
        <f>SUM(AO94:AR101)</f>
        <v>22.98</v>
      </c>
      <c r="AL102" s="467"/>
      <c r="AM102" s="467"/>
      <c r="AN102" s="468"/>
      <c r="AO102" s="820">
        <f>ROUND(AG102*AK102,2)</f>
        <v>4.71</v>
      </c>
      <c r="AP102" s="821"/>
      <c r="AQ102" s="821"/>
      <c r="AR102" s="822"/>
    </row>
    <row r="103" spans="3:44" ht="18" customHeight="1">
      <c r="C103" s="743"/>
      <c r="D103" s="744"/>
      <c r="E103" s="744"/>
      <c r="F103" s="744"/>
      <c r="G103" s="744"/>
      <c r="H103" s="744"/>
      <c r="I103" s="744"/>
      <c r="J103" s="744"/>
      <c r="K103" s="744"/>
      <c r="L103" s="744"/>
      <c r="M103" s="744"/>
      <c r="N103" s="744"/>
      <c r="O103" s="744"/>
      <c r="P103" s="744"/>
      <c r="Q103" s="744"/>
      <c r="R103" s="744"/>
      <c r="S103" s="744"/>
      <c r="T103" s="744"/>
      <c r="U103" s="744"/>
      <c r="V103" s="744"/>
      <c r="W103" s="744"/>
      <c r="X103" s="744"/>
      <c r="Y103" s="745" t="s">
        <v>79</v>
      </c>
      <c r="Z103" s="745"/>
      <c r="AA103" s="745"/>
      <c r="AB103" s="745"/>
      <c r="AC103" s="745"/>
      <c r="AD103" s="745"/>
      <c r="AE103" s="745"/>
      <c r="AF103" s="745"/>
      <c r="AG103" s="745"/>
      <c r="AH103" s="745"/>
      <c r="AI103" s="745"/>
      <c r="AJ103" s="745"/>
      <c r="AK103" s="745"/>
      <c r="AL103" s="745"/>
      <c r="AM103" s="745"/>
      <c r="AN103" s="430"/>
      <c r="AO103" s="477">
        <f>SUM(AO94:AR102)</f>
        <v>27.69</v>
      </c>
      <c r="AP103" s="746"/>
      <c r="AQ103" s="746"/>
      <c r="AR103" s="747"/>
    </row>
    <row r="105" spans="3:44" ht="18" customHeight="1">
      <c r="C105" s="802"/>
      <c r="D105" s="803"/>
      <c r="E105" s="803"/>
      <c r="F105" s="803"/>
      <c r="G105" s="803"/>
      <c r="H105" s="803"/>
      <c r="I105" s="803"/>
      <c r="J105" s="803"/>
      <c r="K105" s="803"/>
      <c r="L105" s="803"/>
      <c r="M105" s="803"/>
      <c r="N105" s="803"/>
      <c r="O105" s="803"/>
      <c r="P105" s="803"/>
      <c r="Q105" s="803"/>
      <c r="R105" s="803"/>
      <c r="S105" s="803"/>
      <c r="T105" s="803"/>
      <c r="U105" s="803"/>
      <c r="V105" s="803"/>
      <c r="W105" s="803"/>
      <c r="X105" s="803"/>
      <c r="Y105" s="804" t="s">
        <v>80</v>
      </c>
      <c r="Z105" s="805"/>
      <c r="AA105" s="805"/>
      <c r="AB105" s="805"/>
      <c r="AC105" s="805"/>
      <c r="AD105" s="805"/>
      <c r="AE105" s="805"/>
      <c r="AF105" s="805"/>
      <c r="AG105" s="805"/>
      <c r="AH105" s="805"/>
      <c r="AI105" s="805"/>
      <c r="AJ105" s="805"/>
      <c r="AK105" s="805"/>
      <c r="AL105" s="805"/>
      <c r="AM105" s="805"/>
      <c r="AN105" s="806"/>
      <c r="AO105" s="807">
        <f>AO90+AO103</f>
        <v>27.69</v>
      </c>
      <c r="AP105" s="808"/>
      <c r="AQ105" s="808"/>
      <c r="AR105" s="809"/>
    </row>
    <row r="106" spans="3:44" ht="18" customHeight="1">
      <c r="C106" s="810" t="s">
        <v>81</v>
      </c>
      <c r="D106" s="745"/>
      <c r="E106" s="745"/>
      <c r="F106" s="745"/>
      <c r="G106" s="745"/>
      <c r="H106" s="745"/>
      <c r="I106" s="745"/>
      <c r="J106" s="745"/>
      <c r="K106" s="745"/>
      <c r="L106" s="745"/>
      <c r="M106" s="745"/>
      <c r="N106" s="745"/>
      <c r="O106" s="745"/>
      <c r="P106" s="430"/>
      <c r="Q106" s="477">
        <v>1</v>
      </c>
      <c r="R106" s="746"/>
      <c r="S106" s="746"/>
      <c r="T106" s="746"/>
      <c r="U106" s="746"/>
      <c r="V106" s="745" t="s">
        <v>194</v>
      </c>
      <c r="W106" s="745"/>
      <c r="X106" s="430"/>
      <c r="Y106" s="804" t="s">
        <v>82</v>
      </c>
      <c r="Z106" s="805"/>
      <c r="AA106" s="805"/>
      <c r="AB106" s="805"/>
      <c r="AC106" s="805"/>
      <c r="AD106" s="805"/>
      <c r="AE106" s="805"/>
      <c r="AF106" s="805"/>
      <c r="AG106" s="805"/>
      <c r="AH106" s="805"/>
      <c r="AI106" s="805"/>
      <c r="AJ106" s="805"/>
      <c r="AK106" s="805"/>
      <c r="AL106" s="805"/>
      <c r="AM106" s="805"/>
      <c r="AN106" s="806"/>
      <c r="AO106" s="811">
        <f>ROUND(AO105/Q106,2)</f>
        <v>27.69</v>
      </c>
      <c r="AP106" s="812"/>
      <c r="AQ106" s="812"/>
      <c r="AR106" s="813"/>
    </row>
    <row r="108" spans="3:44" ht="18" customHeight="1">
      <c r="C108" s="794" t="s">
        <v>43</v>
      </c>
      <c r="D108" s="774"/>
      <c r="E108" s="775"/>
      <c r="F108" s="773" t="s">
        <v>83</v>
      </c>
      <c r="G108" s="774"/>
      <c r="H108" s="774"/>
      <c r="I108" s="774"/>
      <c r="J108" s="774"/>
      <c r="K108" s="774"/>
      <c r="L108" s="774"/>
      <c r="M108" s="774"/>
      <c r="N108" s="774"/>
      <c r="O108" s="774"/>
      <c r="P108" s="774"/>
      <c r="Q108" s="774"/>
      <c r="R108" s="774"/>
      <c r="S108" s="774"/>
      <c r="T108" s="774"/>
      <c r="U108" s="774"/>
      <c r="V108" s="774"/>
      <c r="W108" s="774"/>
      <c r="X108" s="774"/>
      <c r="Y108" s="774"/>
      <c r="Z108" s="774"/>
      <c r="AA108" s="774"/>
      <c r="AB108" s="775"/>
      <c r="AC108" s="773" t="s">
        <v>84</v>
      </c>
      <c r="AD108" s="774"/>
      <c r="AE108" s="774"/>
      <c r="AF108" s="775"/>
      <c r="AG108" s="773" t="s">
        <v>85</v>
      </c>
      <c r="AH108" s="774"/>
      <c r="AI108" s="774"/>
      <c r="AJ108" s="775"/>
      <c r="AK108" s="773" t="s">
        <v>86</v>
      </c>
      <c r="AL108" s="774"/>
      <c r="AM108" s="774"/>
      <c r="AN108" s="775"/>
      <c r="AO108" s="773" t="s">
        <v>87</v>
      </c>
      <c r="AP108" s="774"/>
      <c r="AQ108" s="774"/>
      <c r="AR108" s="779"/>
    </row>
    <row r="109" spans="3:44" ht="18" customHeight="1">
      <c r="C109" s="795"/>
      <c r="D109" s="777"/>
      <c r="E109" s="778"/>
      <c r="F109" s="776"/>
      <c r="G109" s="777"/>
      <c r="H109" s="777"/>
      <c r="I109" s="777"/>
      <c r="J109" s="777"/>
      <c r="K109" s="777"/>
      <c r="L109" s="777"/>
      <c r="M109" s="777"/>
      <c r="N109" s="777"/>
      <c r="O109" s="777"/>
      <c r="P109" s="777"/>
      <c r="Q109" s="777"/>
      <c r="R109" s="777"/>
      <c r="S109" s="777"/>
      <c r="T109" s="777"/>
      <c r="U109" s="777"/>
      <c r="V109" s="777"/>
      <c r="W109" s="777"/>
      <c r="X109" s="777"/>
      <c r="Y109" s="777"/>
      <c r="Z109" s="777"/>
      <c r="AA109" s="777"/>
      <c r="AB109" s="778"/>
      <c r="AC109" s="776"/>
      <c r="AD109" s="777"/>
      <c r="AE109" s="777"/>
      <c r="AF109" s="778"/>
      <c r="AG109" s="776"/>
      <c r="AH109" s="777"/>
      <c r="AI109" s="777"/>
      <c r="AJ109" s="778"/>
      <c r="AK109" s="776"/>
      <c r="AL109" s="777"/>
      <c r="AM109" s="777"/>
      <c r="AN109" s="778"/>
      <c r="AO109" s="776"/>
      <c r="AP109" s="777"/>
      <c r="AQ109" s="777"/>
      <c r="AR109" s="780"/>
    </row>
    <row r="110" spans="3:44" ht="18" customHeight="1">
      <c r="C110" s="781" t="s">
        <v>710</v>
      </c>
      <c r="D110" s="782"/>
      <c r="E110" s="783"/>
      <c r="F110" s="493" t="s">
        <v>369</v>
      </c>
      <c r="G110" s="493"/>
      <c r="H110" s="493"/>
      <c r="I110" s="493"/>
      <c r="J110" s="493"/>
      <c r="K110" s="493"/>
      <c r="L110" s="493"/>
      <c r="M110" s="493"/>
      <c r="N110" s="493"/>
      <c r="O110" s="493"/>
      <c r="P110" s="493"/>
      <c r="Q110" s="493"/>
      <c r="R110" s="493"/>
      <c r="S110" s="493"/>
      <c r="T110" s="493"/>
      <c r="U110" s="493"/>
      <c r="V110" s="493"/>
      <c r="W110" s="493"/>
      <c r="X110" s="493"/>
      <c r="Y110" s="493"/>
      <c r="Z110" s="493"/>
      <c r="AA110" s="493"/>
      <c r="AB110" s="493"/>
      <c r="AC110" s="471" t="s">
        <v>245</v>
      </c>
      <c r="AD110" s="803"/>
      <c r="AE110" s="803"/>
      <c r="AF110" s="871"/>
      <c r="AG110" s="491">
        <f>TRUNC(34.23/1.2031,2)</f>
        <v>28.45</v>
      </c>
      <c r="AH110" s="491"/>
      <c r="AI110" s="491"/>
      <c r="AJ110" s="491"/>
      <c r="AK110" s="791">
        <v>0.3</v>
      </c>
      <c r="AL110" s="792"/>
      <c r="AM110" s="792"/>
      <c r="AN110" s="793"/>
      <c r="AO110" s="740">
        <f>ROUND(AG110*AK110,2)</f>
        <v>8.5399999999999991</v>
      </c>
      <c r="AP110" s="741"/>
      <c r="AQ110" s="741"/>
      <c r="AR110" s="742"/>
    </row>
    <row r="111" spans="3:44" ht="18" customHeight="1">
      <c r="C111" s="758" t="s">
        <v>781</v>
      </c>
      <c r="D111" s="759"/>
      <c r="E111" s="760"/>
      <c r="F111" s="796" t="s">
        <v>782</v>
      </c>
      <c r="G111" s="797"/>
      <c r="H111" s="797"/>
      <c r="I111" s="797"/>
      <c r="J111" s="797"/>
      <c r="K111" s="797"/>
      <c r="L111" s="797"/>
      <c r="M111" s="797"/>
      <c r="N111" s="797"/>
      <c r="O111" s="797"/>
      <c r="P111" s="797"/>
      <c r="Q111" s="797"/>
      <c r="R111" s="797"/>
      <c r="S111" s="797"/>
      <c r="T111" s="797"/>
      <c r="U111" s="797"/>
      <c r="V111" s="797"/>
      <c r="W111" s="797"/>
      <c r="X111" s="797"/>
      <c r="Y111" s="797"/>
      <c r="Z111" s="797"/>
      <c r="AA111" s="797"/>
      <c r="AB111" s="798"/>
      <c r="AC111" s="799" t="s">
        <v>309</v>
      </c>
      <c r="AD111" s="800"/>
      <c r="AE111" s="800"/>
      <c r="AF111" s="801"/>
      <c r="AG111" s="466">
        <f>TRUNC(60.08/1.2031,2)</f>
        <v>49.93</v>
      </c>
      <c r="AH111" s="467"/>
      <c r="AI111" s="467"/>
      <c r="AJ111" s="468"/>
      <c r="AK111" s="737">
        <v>1.1000000000000001</v>
      </c>
      <c r="AL111" s="738"/>
      <c r="AM111" s="738"/>
      <c r="AN111" s="739"/>
      <c r="AO111" s="740">
        <f>ROUND(AG111*AK111,2)</f>
        <v>54.92</v>
      </c>
      <c r="AP111" s="741"/>
      <c r="AQ111" s="741"/>
      <c r="AR111" s="742"/>
    </row>
    <row r="112" spans="3:44" ht="18" customHeight="1">
      <c r="C112" s="758" t="s">
        <v>238</v>
      </c>
      <c r="D112" s="759"/>
      <c r="E112" s="760"/>
      <c r="F112" s="796" t="s">
        <v>787</v>
      </c>
      <c r="G112" s="797"/>
      <c r="H112" s="797"/>
      <c r="I112" s="797"/>
      <c r="J112" s="797"/>
      <c r="K112" s="797"/>
      <c r="L112" s="797"/>
      <c r="M112" s="797"/>
      <c r="N112" s="797"/>
      <c r="O112" s="797"/>
      <c r="P112" s="797"/>
      <c r="Q112" s="797"/>
      <c r="R112" s="797"/>
      <c r="S112" s="797"/>
      <c r="T112" s="797"/>
      <c r="U112" s="797"/>
      <c r="V112" s="797"/>
      <c r="W112" s="797"/>
      <c r="X112" s="797"/>
      <c r="Y112" s="797"/>
      <c r="Z112" s="797"/>
      <c r="AA112" s="797"/>
      <c r="AB112" s="798"/>
      <c r="AC112" s="799" t="s">
        <v>194</v>
      </c>
      <c r="AD112" s="800"/>
      <c r="AE112" s="800"/>
      <c r="AF112" s="801"/>
      <c r="AG112" s="466">
        <v>81.150000000000006</v>
      </c>
      <c r="AH112" s="467"/>
      <c r="AI112" s="467"/>
      <c r="AJ112" s="468"/>
      <c r="AK112" s="737">
        <v>1</v>
      </c>
      <c r="AL112" s="738"/>
      <c r="AM112" s="738"/>
      <c r="AN112" s="739"/>
      <c r="AO112" s="740">
        <f>ROUND(AG112*AK112,2)</f>
        <v>81.150000000000006</v>
      </c>
      <c r="AP112" s="741"/>
      <c r="AQ112" s="741"/>
      <c r="AR112" s="742"/>
    </row>
    <row r="113" spans="3:44" ht="18" customHeight="1">
      <c r="C113" s="758"/>
      <c r="D113" s="759"/>
      <c r="E113" s="760"/>
      <c r="F113" s="796"/>
      <c r="G113" s="797"/>
      <c r="H113" s="797"/>
      <c r="I113" s="797"/>
      <c r="J113" s="797"/>
      <c r="K113" s="797"/>
      <c r="L113" s="797"/>
      <c r="M113" s="797"/>
      <c r="N113" s="797"/>
      <c r="O113" s="797"/>
      <c r="P113" s="797"/>
      <c r="Q113" s="797"/>
      <c r="R113" s="797"/>
      <c r="S113" s="797"/>
      <c r="T113" s="797"/>
      <c r="U113" s="797"/>
      <c r="V113" s="797"/>
      <c r="W113" s="797"/>
      <c r="X113" s="797"/>
      <c r="Y113" s="797"/>
      <c r="Z113" s="797"/>
      <c r="AA113" s="797"/>
      <c r="AB113" s="798"/>
      <c r="AC113" s="799"/>
      <c r="AD113" s="800"/>
      <c r="AE113" s="800"/>
      <c r="AF113" s="801"/>
      <c r="AG113" s="466"/>
      <c r="AH113" s="467"/>
      <c r="AI113" s="467"/>
      <c r="AJ113" s="468"/>
      <c r="AK113" s="737"/>
      <c r="AL113" s="738"/>
      <c r="AM113" s="738"/>
      <c r="AN113" s="739"/>
      <c r="AO113" s="740"/>
      <c r="AP113" s="741"/>
      <c r="AQ113" s="741"/>
      <c r="AR113" s="742"/>
    </row>
    <row r="114" spans="3:44" ht="18" customHeight="1">
      <c r="C114" s="758"/>
      <c r="D114" s="759"/>
      <c r="E114" s="760"/>
      <c r="F114" s="796"/>
      <c r="G114" s="797"/>
      <c r="H114" s="797"/>
      <c r="I114" s="797"/>
      <c r="J114" s="797"/>
      <c r="K114" s="797"/>
      <c r="L114" s="797"/>
      <c r="M114" s="797"/>
      <c r="N114" s="797"/>
      <c r="O114" s="797"/>
      <c r="P114" s="797"/>
      <c r="Q114" s="797"/>
      <c r="R114" s="797"/>
      <c r="S114" s="797"/>
      <c r="T114" s="797"/>
      <c r="U114" s="797"/>
      <c r="V114" s="797"/>
      <c r="W114" s="797"/>
      <c r="X114" s="797"/>
      <c r="Y114" s="797"/>
      <c r="Z114" s="797"/>
      <c r="AA114" s="797"/>
      <c r="AB114" s="798"/>
      <c r="AC114" s="799"/>
      <c r="AD114" s="800"/>
      <c r="AE114" s="800"/>
      <c r="AF114" s="801"/>
      <c r="AG114" s="466"/>
      <c r="AH114" s="467"/>
      <c r="AI114" s="467"/>
      <c r="AJ114" s="468"/>
      <c r="AK114" s="737"/>
      <c r="AL114" s="738"/>
      <c r="AM114" s="738"/>
      <c r="AN114" s="739"/>
      <c r="AO114" s="740"/>
      <c r="AP114" s="741"/>
      <c r="AQ114" s="741"/>
      <c r="AR114" s="742"/>
    </row>
    <row r="115" spans="3:44" ht="18" customHeight="1">
      <c r="C115" s="758"/>
      <c r="D115" s="759"/>
      <c r="E115" s="760"/>
      <c r="F115" s="796"/>
      <c r="G115" s="797"/>
      <c r="H115" s="797"/>
      <c r="I115" s="797"/>
      <c r="J115" s="797"/>
      <c r="K115" s="797"/>
      <c r="L115" s="797"/>
      <c r="M115" s="797"/>
      <c r="N115" s="797"/>
      <c r="O115" s="797"/>
      <c r="P115" s="797"/>
      <c r="Q115" s="797"/>
      <c r="R115" s="797"/>
      <c r="S115" s="797"/>
      <c r="T115" s="797"/>
      <c r="U115" s="797"/>
      <c r="V115" s="797"/>
      <c r="W115" s="797"/>
      <c r="X115" s="797"/>
      <c r="Y115" s="797"/>
      <c r="Z115" s="797"/>
      <c r="AA115" s="797"/>
      <c r="AB115" s="798"/>
      <c r="AC115" s="799"/>
      <c r="AD115" s="800"/>
      <c r="AE115" s="800"/>
      <c r="AF115" s="801"/>
      <c r="AG115" s="466"/>
      <c r="AH115" s="467"/>
      <c r="AI115" s="467"/>
      <c r="AJ115" s="468"/>
      <c r="AK115" s="737"/>
      <c r="AL115" s="738"/>
      <c r="AM115" s="738"/>
      <c r="AN115" s="739"/>
      <c r="AO115" s="740"/>
      <c r="AP115" s="741"/>
      <c r="AQ115" s="741"/>
      <c r="AR115" s="742"/>
    </row>
    <row r="116" spans="3:44" ht="18" customHeight="1">
      <c r="C116" s="758"/>
      <c r="D116" s="759"/>
      <c r="E116" s="760"/>
      <c r="F116" s="796"/>
      <c r="G116" s="797"/>
      <c r="H116" s="797"/>
      <c r="I116" s="797"/>
      <c r="J116" s="797"/>
      <c r="K116" s="797"/>
      <c r="L116" s="797"/>
      <c r="M116" s="797"/>
      <c r="N116" s="797"/>
      <c r="O116" s="797"/>
      <c r="P116" s="797"/>
      <c r="Q116" s="797"/>
      <c r="R116" s="797"/>
      <c r="S116" s="797"/>
      <c r="T116" s="797"/>
      <c r="U116" s="797"/>
      <c r="V116" s="797"/>
      <c r="W116" s="797"/>
      <c r="X116" s="797"/>
      <c r="Y116" s="797"/>
      <c r="Z116" s="797"/>
      <c r="AA116" s="797"/>
      <c r="AB116" s="798"/>
      <c r="AC116" s="799"/>
      <c r="AD116" s="800"/>
      <c r="AE116" s="800"/>
      <c r="AF116" s="801"/>
      <c r="AG116" s="466"/>
      <c r="AH116" s="467"/>
      <c r="AI116" s="467"/>
      <c r="AJ116" s="468"/>
      <c r="AK116" s="737"/>
      <c r="AL116" s="738"/>
      <c r="AM116" s="738"/>
      <c r="AN116" s="739"/>
      <c r="AO116" s="740"/>
      <c r="AP116" s="741"/>
      <c r="AQ116" s="741"/>
      <c r="AR116" s="742"/>
    </row>
    <row r="117" spans="3:44" ht="18" customHeight="1">
      <c r="C117" s="758"/>
      <c r="D117" s="759"/>
      <c r="E117" s="760"/>
      <c r="F117" s="796"/>
      <c r="G117" s="797"/>
      <c r="H117" s="797"/>
      <c r="I117" s="797"/>
      <c r="J117" s="797"/>
      <c r="K117" s="797"/>
      <c r="L117" s="797"/>
      <c r="M117" s="797"/>
      <c r="N117" s="797"/>
      <c r="O117" s="797"/>
      <c r="P117" s="797"/>
      <c r="Q117" s="797"/>
      <c r="R117" s="797"/>
      <c r="S117" s="797"/>
      <c r="T117" s="797"/>
      <c r="U117" s="797"/>
      <c r="V117" s="797"/>
      <c r="W117" s="797"/>
      <c r="X117" s="797"/>
      <c r="Y117" s="797"/>
      <c r="Z117" s="797"/>
      <c r="AA117" s="797"/>
      <c r="AB117" s="798"/>
      <c r="AC117" s="799"/>
      <c r="AD117" s="800"/>
      <c r="AE117" s="800"/>
      <c r="AF117" s="801"/>
      <c r="AG117" s="466"/>
      <c r="AH117" s="467"/>
      <c r="AI117" s="467"/>
      <c r="AJ117" s="468"/>
      <c r="AK117" s="737"/>
      <c r="AL117" s="738"/>
      <c r="AM117" s="738"/>
      <c r="AN117" s="739"/>
      <c r="AO117" s="740"/>
      <c r="AP117" s="741"/>
      <c r="AQ117" s="741"/>
      <c r="AR117" s="742"/>
    </row>
    <row r="118" spans="3:44" ht="18" customHeight="1">
      <c r="C118" s="743"/>
      <c r="D118" s="744"/>
      <c r="E118" s="744"/>
      <c r="F118" s="744"/>
      <c r="G118" s="744"/>
      <c r="H118" s="744"/>
      <c r="I118" s="744"/>
      <c r="J118" s="744"/>
      <c r="K118" s="744"/>
      <c r="L118" s="744"/>
      <c r="M118" s="744"/>
      <c r="N118" s="744"/>
      <c r="O118" s="744"/>
      <c r="P118" s="744"/>
      <c r="Q118" s="744"/>
      <c r="R118" s="744"/>
      <c r="S118" s="744"/>
      <c r="T118" s="744"/>
      <c r="U118" s="744"/>
      <c r="V118" s="744"/>
      <c r="W118" s="744"/>
      <c r="X118" s="744"/>
      <c r="Y118" s="745" t="s">
        <v>88</v>
      </c>
      <c r="Z118" s="745"/>
      <c r="AA118" s="745"/>
      <c r="AB118" s="745"/>
      <c r="AC118" s="745"/>
      <c r="AD118" s="745"/>
      <c r="AE118" s="745"/>
      <c r="AF118" s="745"/>
      <c r="AG118" s="745"/>
      <c r="AH118" s="745"/>
      <c r="AI118" s="745"/>
      <c r="AJ118" s="745"/>
      <c r="AK118" s="745"/>
      <c r="AL118" s="745"/>
      <c r="AM118" s="745"/>
      <c r="AN118" s="430"/>
      <c r="AO118" s="477">
        <f>SUM(AO110:AR117)</f>
        <v>144.61000000000001</v>
      </c>
      <c r="AP118" s="746"/>
      <c r="AQ118" s="746"/>
      <c r="AR118" s="747"/>
    </row>
    <row r="120" spans="3:44" ht="18" customHeight="1">
      <c r="C120" s="794" t="s">
        <v>43</v>
      </c>
      <c r="D120" s="774"/>
      <c r="E120" s="775"/>
      <c r="F120" s="773" t="s">
        <v>89</v>
      </c>
      <c r="G120" s="774"/>
      <c r="H120" s="774"/>
      <c r="I120" s="774"/>
      <c r="J120" s="774"/>
      <c r="K120" s="774"/>
      <c r="L120" s="774"/>
      <c r="M120" s="774"/>
      <c r="N120" s="774"/>
      <c r="O120" s="774"/>
      <c r="P120" s="774"/>
      <c r="Q120" s="774"/>
      <c r="R120" s="775"/>
      <c r="S120" s="773" t="s">
        <v>90</v>
      </c>
      <c r="T120" s="774"/>
      <c r="U120" s="775"/>
      <c r="V120" s="773" t="s">
        <v>91</v>
      </c>
      <c r="W120" s="774"/>
      <c r="X120" s="775"/>
      <c r="Y120" s="773" t="s">
        <v>92</v>
      </c>
      <c r="Z120" s="774"/>
      <c r="AA120" s="774"/>
      <c r="AB120" s="774"/>
      <c r="AC120" s="774"/>
      <c r="AD120" s="775"/>
      <c r="AE120" s="773" t="s">
        <v>93</v>
      </c>
      <c r="AF120" s="774"/>
      <c r="AG120" s="775"/>
      <c r="AH120" s="773" t="s">
        <v>94</v>
      </c>
      <c r="AI120" s="774"/>
      <c r="AJ120" s="775"/>
      <c r="AK120" s="773" t="s">
        <v>86</v>
      </c>
      <c r="AL120" s="774"/>
      <c r="AM120" s="774"/>
      <c r="AN120" s="775"/>
      <c r="AO120" s="773" t="s">
        <v>87</v>
      </c>
      <c r="AP120" s="774"/>
      <c r="AQ120" s="774"/>
      <c r="AR120" s="779"/>
    </row>
    <row r="121" spans="3:44" ht="18" customHeight="1">
      <c r="C121" s="795"/>
      <c r="D121" s="777"/>
      <c r="E121" s="778"/>
      <c r="F121" s="776"/>
      <c r="G121" s="777"/>
      <c r="H121" s="777"/>
      <c r="I121" s="777"/>
      <c r="J121" s="777"/>
      <c r="K121" s="777"/>
      <c r="L121" s="777"/>
      <c r="M121" s="777"/>
      <c r="N121" s="777"/>
      <c r="O121" s="777"/>
      <c r="P121" s="777"/>
      <c r="Q121" s="777"/>
      <c r="R121" s="778"/>
      <c r="S121" s="776"/>
      <c r="T121" s="777"/>
      <c r="U121" s="778"/>
      <c r="V121" s="776"/>
      <c r="W121" s="777"/>
      <c r="X121" s="778"/>
      <c r="Y121" s="776"/>
      <c r="Z121" s="777"/>
      <c r="AA121" s="777"/>
      <c r="AB121" s="777"/>
      <c r="AC121" s="777"/>
      <c r="AD121" s="778"/>
      <c r="AE121" s="776"/>
      <c r="AF121" s="777"/>
      <c r="AG121" s="778"/>
      <c r="AH121" s="776"/>
      <c r="AI121" s="777"/>
      <c r="AJ121" s="778"/>
      <c r="AK121" s="776"/>
      <c r="AL121" s="777"/>
      <c r="AM121" s="777"/>
      <c r="AN121" s="778"/>
      <c r="AO121" s="776"/>
      <c r="AP121" s="777"/>
      <c r="AQ121" s="777"/>
      <c r="AR121" s="780"/>
    </row>
    <row r="122" spans="3:44" ht="18" customHeight="1">
      <c r="C122" s="781"/>
      <c r="D122" s="782"/>
      <c r="E122" s="783"/>
      <c r="F122" s="457"/>
      <c r="G122" s="457"/>
      <c r="H122" s="457"/>
      <c r="I122" s="457"/>
      <c r="J122" s="457"/>
      <c r="K122" s="457"/>
      <c r="L122" s="457"/>
      <c r="M122" s="457"/>
      <c r="N122" s="457"/>
      <c r="O122" s="457"/>
      <c r="P122" s="457"/>
      <c r="Q122" s="457"/>
      <c r="R122" s="457"/>
      <c r="S122" s="784"/>
      <c r="T122" s="785"/>
      <c r="U122" s="786"/>
      <c r="V122" s="784"/>
      <c r="W122" s="785"/>
      <c r="X122" s="786"/>
      <c r="Y122" s="787"/>
      <c r="Z122" s="788"/>
      <c r="AA122" s="788"/>
      <c r="AB122" s="788"/>
      <c r="AC122" s="788"/>
      <c r="AD122" s="789"/>
      <c r="AE122" s="449"/>
      <c r="AF122" s="449"/>
      <c r="AG122" s="449"/>
      <c r="AH122" s="770"/>
      <c r="AI122" s="771"/>
      <c r="AJ122" s="790"/>
      <c r="AK122" s="791"/>
      <c r="AL122" s="792"/>
      <c r="AM122" s="792"/>
      <c r="AN122" s="793"/>
      <c r="AO122" s="770"/>
      <c r="AP122" s="771"/>
      <c r="AQ122" s="771"/>
      <c r="AR122" s="772"/>
    </row>
    <row r="123" spans="3:44" ht="18" customHeight="1">
      <c r="C123" s="758"/>
      <c r="D123" s="759"/>
      <c r="E123" s="760"/>
      <c r="F123" s="761"/>
      <c r="G123" s="762"/>
      <c r="H123" s="762"/>
      <c r="I123" s="762"/>
      <c r="J123" s="762"/>
      <c r="K123" s="762"/>
      <c r="L123" s="762"/>
      <c r="M123" s="762"/>
      <c r="N123" s="762"/>
      <c r="O123" s="762"/>
      <c r="P123" s="762"/>
      <c r="Q123" s="762"/>
      <c r="R123" s="763"/>
      <c r="S123" s="764"/>
      <c r="T123" s="765"/>
      <c r="U123" s="766"/>
      <c r="V123" s="764"/>
      <c r="W123" s="765"/>
      <c r="X123" s="766"/>
      <c r="Y123" s="767"/>
      <c r="Z123" s="768"/>
      <c r="AA123" s="768"/>
      <c r="AB123" s="768"/>
      <c r="AC123" s="768"/>
      <c r="AD123" s="769"/>
      <c r="AE123" s="740"/>
      <c r="AF123" s="741"/>
      <c r="AG123" s="757"/>
      <c r="AH123" s="740"/>
      <c r="AI123" s="741"/>
      <c r="AJ123" s="757"/>
      <c r="AK123" s="737"/>
      <c r="AL123" s="738"/>
      <c r="AM123" s="738"/>
      <c r="AN123" s="739"/>
      <c r="AO123" s="740">
        <f t="shared" ref="AO123:AO129" si="2">ROUND(AE123*AH123*AK123,2)</f>
        <v>0</v>
      </c>
      <c r="AP123" s="741"/>
      <c r="AQ123" s="741"/>
      <c r="AR123" s="742"/>
    </row>
    <row r="124" spans="3:44" ht="18" customHeight="1">
      <c r="C124" s="758"/>
      <c r="D124" s="759"/>
      <c r="E124" s="760"/>
      <c r="F124" s="761"/>
      <c r="G124" s="762"/>
      <c r="H124" s="762"/>
      <c r="I124" s="762"/>
      <c r="J124" s="762"/>
      <c r="K124" s="762"/>
      <c r="L124" s="762"/>
      <c r="M124" s="762"/>
      <c r="N124" s="762"/>
      <c r="O124" s="762"/>
      <c r="P124" s="762"/>
      <c r="Q124" s="762"/>
      <c r="R124" s="763"/>
      <c r="S124" s="764"/>
      <c r="T124" s="765"/>
      <c r="U124" s="766"/>
      <c r="V124" s="764"/>
      <c r="W124" s="765"/>
      <c r="X124" s="766"/>
      <c r="Y124" s="767"/>
      <c r="Z124" s="768"/>
      <c r="AA124" s="768"/>
      <c r="AB124" s="768"/>
      <c r="AC124" s="768"/>
      <c r="AD124" s="769"/>
      <c r="AE124" s="740"/>
      <c r="AF124" s="741"/>
      <c r="AG124" s="757"/>
      <c r="AH124" s="740"/>
      <c r="AI124" s="741"/>
      <c r="AJ124" s="757"/>
      <c r="AK124" s="737"/>
      <c r="AL124" s="738"/>
      <c r="AM124" s="738"/>
      <c r="AN124" s="739"/>
      <c r="AO124" s="740">
        <f t="shared" si="2"/>
        <v>0</v>
      </c>
      <c r="AP124" s="741"/>
      <c r="AQ124" s="741"/>
      <c r="AR124" s="742"/>
    </row>
    <row r="125" spans="3:44" ht="18" customHeight="1">
      <c r="C125" s="758"/>
      <c r="D125" s="759"/>
      <c r="E125" s="760"/>
      <c r="F125" s="761"/>
      <c r="G125" s="762"/>
      <c r="H125" s="762"/>
      <c r="I125" s="762"/>
      <c r="J125" s="762"/>
      <c r="K125" s="762"/>
      <c r="L125" s="762"/>
      <c r="M125" s="762"/>
      <c r="N125" s="762"/>
      <c r="O125" s="762"/>
      <c r="P125" s="762"/>
      <c r="Q125" s="762"/>
      <c r="R125" s="763"/>
      <c r="S125" s="764"/>
      <c r="T125" s="765"/>
      <c r="U125" s="766"/>
      <c r="V125" s="764"/>
      <c r="W125" s="765"/>
      <c r="X125" s="766"/>
      <c r="Y125" s="767"/>
      <c r="Z125" s="768"/>
      <c r="AA125" s="768"/>
      <c r="AB125" s="768"/>
      <c r="AC125" s="768"/>
      <c r="AD125" s="769"/>
      <c r="AE125" s="740"/>
      <c r="AF125" s="741"/>
      <c r="AG125" s="757"/>
      <c r="AH125" s="740"/>
      <c r="AI125" s="741"/>
      <c r="AJ125" s="757"/>
      <c r="AK125" s="737"/>
      <c r="AL125" s="738"/>
      <c r="AM125" s="738"/>
      <c r="AN125" s="739"/>
      <c r="AO125" s="740">
        <f t="shared" si="2"/>
        <v>0</v>
      </c>
      <c r="AP125" s="741"/>
      <c r="AQ125" s="741"/>
      <c r="AR125" s="742"/>
    </row>
    <row r="126" spans="3:44" ht="18" customHeight="1">
      <c r="C126" s="758"/>
      <c r="D126" s="759"/>
      <c r="E126" s="760"/>
      <c r="F126" s="761"/>
      <c r="G126" s="762"/>
      <c r="H126" s="762"/>
      <c r="I126" s="762"/>
      <c r="J126" s="762"/>
      <c r="K126" s="762"/>
      <c r="L126" s="762"/>
      <c r="M126" s="762"/>
      <c r="N126" s="762"/>
      <c r="O126" s="762"/>
      <c r="P126" s="762"/>
      <c r="Q126" s="762"/>
      <c r="R126" s="763"/>
      <c r="S126" s="764"/>
      <c r="T126" s="765"/>
      <c r="U126" s="766"/>
      <c r="V126" s="764"/>
      <c r="W126" s="765"/>
      <c r="X126" s="766"/>
      <c r="Y126" s="767"/>
      <c r="Z126" s="768"/>
      <c r="AA126" s="768"/>
      <c r="AB126" s="768"/>
      <c r="AC126" s="768"/>
      <c r="AD126" s="769"/>
      <c r="AE126" s="740"/>
      <c r="AF126" s="741"/>
      <c r="AG126" s="757"/>
      <c r="AH126" s="740"/>
      <c r="AI126" s="741"/>
      <c r="AJ126" s="757"/>
      <c r="AK126" s="737"/>
      <c r="AL126" s="738"/>
      <c r="AM126" s="738"/>
      <c r="AN126" s="739"/>
      <c r="AO126" s="740">
        <f t="shared" si="2"/>
        <v>0</v>
      </c>
      <c r="AP126" s="741"/>
      <c r="AQ126" s="741"/>
      <c r="AR126" s="742"/>
    </row>
    <row r="127" spans="3:44" ht="18" customHeight="1">
      <c r="C127" s="758"/>
      <c r="D127" s="759"/>
      <c r="E127" s="760"/>
      <c r="F127" s="761"/>
      <c r="G127" s="762"/>
      <c r="H127" s="762"/>
      <c r="I127" s="762"/>
      <c r="J127" s="762"/>
      <c r="K127" s="762"/>
      <c r="L127" s="762"/>
      <c r="M127" s="762"/>
      <c r="N127" s="762"/>
      <c r="O127" s="762"/>
      <c r="P127" s="762"/>
      <c r="Q127" s="762"/>
      <c r="R127" s="763"/>
      <c r="S127" s="764"/>
      <c r="T127" s="765"/>
      <c r="U127" s="766"/>
      <c r="V127" s="764"/>
      <c r="W127" s="765"/>
      <c r="X127" s="766"/>
      <c r="Y127" s="767"/>
      <c r="Z127" s="768"/>
      <c r="AA127" s="768"/>
      <c r="AB127" s="768"/>
      <c r="AC127" s="768"/>
      <c r="AD127" s="769"/>
      <c r="AE127" s="740"/>
      <c r="AF127" s="741"/>
      <c r="AG127" s="757"/>
      <c r="AH127" s="740"/>
      <c r="AI127" s="741"/>
      <c r="AJ127" s="757"/>
      <c r="AK127" s="737"/>
      <c r="AL127" s="738"/>
      <c r="AM127" s="738"/>
      <c r="AN127" s="739"/>
      <c r="AO127" s="740">
        <f t="shared" si="2"/>
        <v>0</v>
      </c>
      <c r="AP127" s="741"/>
      <c r="AQ127" s="741"/>
      <c r="AR127" s="742"/>
    </row>
    <row r="128" spans="3:44" ht="18" customHeight="1">
      <c r="C128" s="758"/>
      <c r="D128" s="759"/>
      <c r="E128" s="760"/>
      <c r="F128" s="761"/>
      <c r="G128" s="762"/>
      <c r="H128" s="762"/>
      <c r="I128" s="762"/>
      <c r="J128" s="762"/>
      <c r="K128" s="762"/>
      <c r="L128" s="762"/>
      <c r="M128" s="762"/>
      <c r="N128" s="762"/>
      <c r="O128" s="762"/>
      <c r="P128" s="762"/>
      <c r="Q128" s="762"/>
      <c r="R128" s="763"/>
      <c r="S128" s="764"/>
      <c r="T128" s="765"/>
      <c r="U128" s="766"/>
      <c r="V128" s="764"/>
      <c r="W128" s="765"/>
      <c r="X128" s="766"/>
      <c r="Y128" s="767"/>
      <c r="Z128" s="768"/>
      <c r="AA128" s="768"/>
      <c r="AB128" s="768"/>
      <c r="AC128" s="768"/>
      <c r="AD128" s="769"/>
      <c r="AE128" s="740"/>
      <c r="AF128" s="741"/>
      <c r="AG128" s="757"/>
      <c r="AH128" s="740"/>
      <c r="AI128" s="741"/>
      <c r="AJ128" s="757"/>
      <c r="AK128" s="737"/>
      <c r="AL128" s="738"/>
      <c r="AM128" s="738"/>
      <c r="AN128" s="739"/>
      <c r="AO128" s="740">
        <f t="shared" si="2"/>
        <v>0</v>
      </c>
      <c r="AP128" s="741"/>
      <c r="AQ128" s="741"/>
      <c r="AR128" s="742"/>
    </row>
    <row r="129" spans="1:44" ht="18" customHeight="1">
      <c r="C129" s="758"/>
      <c r="D129" s="759"/>
      <c r="E129" s="760"/>
      <c r="F129" s="761"/>
      <c r="G129" s="762"/>
      <c r="H129" s="762"/>
      <c r="I129" s="762"/>
      <c r="J129" s="762"/>
      <c r="K129" s="762"/>
      <c r="L129" s="762"/>
      <c r="M129" s="762"/>
      <c r="N129" s="762"/>
      <c r="O129" s="762"/>
      <c r="P129" s="762"/>
      <c r="Q129" s="762"/>
      <c r="R129" s="763"/>
      <c r="S129" s="764"/>
      <c r="T129" s="765"/>
      <c r="U129" s="766"/>
      <c r="V129" s="764"/>
      <c r="W129" s="765"/>
      <c r="X129" s="766"/>
      <c r="Y129" s="767"/>
      <c r="Z129" s="768"/>
      <c r="AA129" s="768"/>
      <c r="AB129" s="768"/>
      <c r="AC129" s="768"/>
      <c r="AD129" s="769"/>
      <c r="AE129" s="740"/>
      <c r="AF129" s="741"/>
      <c r="AG129" s="757"/>
      <c r="AH129" s="740"/>
      <c r="AI129" s="741"/>
      <c r="AJ129" s="757"/>
      <c r="AK129" s="737"/>
      <c r="AL129" s="738"/>
      <c r="AM129" s="738"/>
      <c r="AN129" s="739"/>
      <c r="AO129" s="740">
        <f t="shared" si="2"/>
        <v>0</v>
      </c>
      <c r="AP129" s="741"/>
      <c r="AQ129" s="741"/>
      <c r="AR129" s="742"/>
    </row>
    <row r="130" spans="1:44" ht="18" customHeight="1">
      <c r="C130" s="743"/>
      <c r="D130" s="744"/>
      <c r="E130" s="744"/>
      <c r="F130" s="744"/>
      <c r="G130" s="744"/>
      <c r="H130" s="744"/>
      <c r="I130" s="744"/>
      <c r="J130" s="744"/>
      <c r="K130" s="744"/>
      <c r="L130" s="744"/>
      <c r="M130" s="744"/>
      <c r="N130" s="744"/>
      <c r="O130" s="744"/>
      <c r="P130" s="744"/>
      <c r="Q130" s="744"/>
      <c r="R130" s="744"/>
      <c r="S130" s="744"/>
      <c r="T130" s="744"/>
      <c r="U130" s="744"/>
      <c r="V130" s="744"/>
      <c r="W130" s="744"/>
      <c r="X130" s="744"/>
      <c r="Y130" s="745" t="s">
        <v>95</v>
      </c>
      <c r="Z130" s="745"/>
      <c r="AA130" s="745"/>
      <c r="AB130" s="745"/>
      <c r="AC130" s="745"/>
      <c r="AD130" s="745"/>
      <c r="AE130" s="745"/>
      <c r="AF130" s="745"/>
      <c r="AG130" s="745"/>
      <c r="AH130" s="745"/>
      <c r="AI130" s="745"/>
      <c r="AJ130" s="745"/>
      <c r="AK130" s="745"/>
      <c r="AL130" s="745"/>
      <c r="AM130" s="745"/>
      <c r="AN130" s="430"/>
      <c r="AO130" s="477">
        <f>SUM(AO122:AR129)</f>
        <v>0</v>
      </c>
      <c r="AP130" s="746"/>
      <c r="AQ130" s="746"/>
      <c r="AR130" s="747"/>
    </row>
    <row r="132" spans="1:44" ht="18" customHeight="1">
      <c r="C132" s="434"/>
      <c r="D132" s="434"/>
      <c r="E132" s="434"/>
      <c r="F132" s="434"/>
      <c r="G132" s="434"/>
      <c r="H132" s="434"/>
      <c r="I132" s="434"/>
      <c r="J132" s="434"/>
      <c r="K132" s="434"/>
      <c r="L132" s="434"/>
      <c r="M132" s="434"/>
      <c r="N132" s="434"/>
      <c r="O132" s="434"/>
      <c r="P132" s="434"/>
      <c r="Q132" s="434"/>
      <c r="R132" s="434"/>
      <c r="S132" s="434"/>
      <c r="T132" s="434"/>
      <c r="U132" s="434"/>
      <c r="V132" s="434"/>
      <c r="W132" s="434"/>
      <c r="X132" s="748"/>
      <c r="Y132" s="749" t="s">
        <v>96</v>
      </c>
      <c r="Z132" s="750"/>
      <c r="AA132" s="750"/>
      <c r="AB132" s="750"/>
      <c r="AC132" s="750"/>
      <c r="AD132" s="750"/>
      <c r="AE132" s="750"/>
      <c r="AF132" s="750"/>
      <c r="AG132" s="750"/>
      <c r="AH132" s="750"/>
      <c r="AI132" s="750"/>
      <c r="AJ132" s="750"/>
      <c r="AK132" s="750"/>
      <c r="AL132" s="750"/>
      <c r="AM132" s="750"/>
      <c r="AN132" s="751"/>
      <c r="AO132" s="752">
        <f>AO106+AO118+AO130</f>
        <v>172.3</v>
      </c>
      <c r="AP132" s="753"/>
      <c r="AQ132" s="753"/>
      <c r="AR132" s="754"/>
    </row>
    <row r="133" spans="1:44" ht="18" customHeight="1">
      <c r="C133" s="434"/>
      <c r="D133" s="434"/>
      <c r="E133" s="434"/>
      <c r="F133" s="434"/>
      <c r="G133" s="434"/>
      <c r="H133" s="434"/>
      <c r="I133" s="434"/>
      <c r="J133" s="434"/>
      <c r="K133" s="434"/>
      <c r="L133" s="434"/>
      <c r="M133" s="434"/>
      <c r="N133" s="434"/>
      <c r="O133" s="434"/>
      <c r="P133" s="434"/>
      <c r="Q133" s="434"/>
      <c r="R133" s="434"/>
      <c r="S133" s="434"/>
      <c r="T133" s="434"/>
      <c r="U133" s="434"/>
      <c r="V133" s="434"/>
      <c r="W133" s="434"/>
      <c r="X133" s="748"/>
      <c r="Y133" s="755" t="s">
        <v>97</v>
      </c>
      <c r="Z133" s="756"/>
      <c r="AA133" s="756"/>
      <c r="AB133" s="756"/>
      <c r="AC133" s="756"/>
      <c r="AD133" s="756"/>
      <c r="AE133" s="756"/>
      <c r="AF133" s="756"/>
      <c r="AG133" s="756"/>
      <c r="AH133" s="442">
        <v>0.2031</v>
      </c>
      <c r="AI133" s="442"/>
      <c r="AJ133" s="442"/>
      <c r="AK133" s="442"/>
      <c r="AL133" s="442"/>
      <c r="AM133" s="442"/>
      <c r="AN133" s="443"/>
      <c r="AO133" s="728">
        <f>ROUND(AO132*AH133,2)</f>
        <v>34.99</v>
      </c>
      <c r="AP133" s="729"/>
      <c r="AQ133" s="729"/>
      <c r="AR133" s="730"/>
    </row>
    <row r="134" spans="1:44" ht="18" customHeight="1">
      <c r="A134" s="415" t="s">
        <v>788</v>
      </c>
      <c r="B134" s="415"/>
      <c r="C134" s="434"/>
      <c r="D134" s="434"/>
      <c r="E134" s="434"/>
      <c r="F134" s="434"/>
      <c r="G134" s="434"/>
      <c r="H134" s="434"/>
      <c r="I134" s="434"/>
      <c r="J134" s="434"/>
      <c r="K134" s="434"/>
      <c r="L134" s="434"/>
      <c r="M134" s="434"/>
      <c r="N134" s="434"/>
      <c r="O134" s="434"/>
      <c r="P134" s="434"/>
      <c r="Q134" s="434"/>
      <c r="R134" s="434"/>
      <c r="S134" s="434"/>
      <c r="T134" s="434"/>
      <c r="U134" s="434"/>
      <c r="V134" s="434"/>
      <c r="W134" s="434"/>
      <c r="X134" s="748"/>
      <c r="Y134" s="731" t="s">
        <v>98</v>
      </c>
      <c r="Z134" s="732"/>
      <c r="AA134" s="732"/>
      <c r="AB134" s="732"/>
      <c r="AC134" s="732"/>
      <c r="AD134" s="732"/>
      <c r="AE134" s="732"/>
      <c r="AF134" s="732"/>
      <c r="AG134" s="732"/>
      <c r="AH134" s="732"/>
      <c r="AI134" s="732"/>
      <c r="AJ134" s="732"/>
      <c r="AK134" s="732"/>
      <c r="AL134" s="732"/>
      <c r="AM134" s="732"/>
      <c r="AN134" s="733"/>
      <c r="AO134" s="734">
        <f>SUM(AO132:AR133)</f>
        <v>207.29000000000002</v>
      </c>
      <c r="AP134" s="735"/>
      <c r="AQ134" s="735"/>
      <c r="AR134" s="736"/>
    </row>
    <row r="136" spans="1:44" ht="18" customHeight="1">
      <c r="C136" s="420" t="s">
        <v>99</v>
      </c>
      <c r="D136" s="421"/>
      <c r="E136" s="421"/>
      <c r="F136" s="421"/>
      <c r="G136" s="421"/>
      <c r="H136" s="421"/>
      <c r="I136" s="422"/>
      <c r="J136" s="422"/>
      <c r="K136" s="422"/>
      <c r="L136" s="422"/>
      <c r="M136" s="422"/>
      <c r="N136" s="422"/>
      <c r="O136" s="422"/>
      <c r="P136" s="422"/>
      <c r="Q136" s="422"/>
      <c r="R136" s="422"/>
      <c r="S136" s="422"/>
      <c r="T136" s="422"/>
      <c r="U136" s="422"/>
      <c r="V136" s="422"/>
      <c r="W136" s="422"/>
      <c r="X136" s="422"/>
      <c r="Y136" s="422"/>
      <c r="Z136" s="422"/>
      <c r="AA136" s="422"/>
      <c r="AB136" s="422"/>
      <c r="AC136" s="422"/>
      <c r="AD136" s="422"/>
      <c r="AE136" s="422"/>
      <c r="AF136" s="422"/>
      <c r="AG136" s="422"/>
      <c r="AH136" s="422"/>
      <c r="AI136" s="422"/>
      <c r="AJ136" s="422"/>
      <c r="AK136" s="422"/>
      <c r="AL136" s="422"/>
      <c r="AM136" s="422"/>
      <c r="AN136" s="422"/>
      <c r="AO136" s="422"/>
      <c r="AP136" s="422"/>
      <c r="AQ136" s="422"/>
      <c r="AR136" s="423"/>
    </row>
    <row r="137" spans="1:44" ht="18" customHeight="1">
      <c r="C137" s="411"/>
      <c r="D137" s="412"/>
      <c r="E137" s="412"/>
      <c r="F137" s="412"/>
      <c r="G137" s="412"/>
      <c r="H137" s="412"/>
      <c r="I137" s="409"/>
      <c r="J137" s="409"/>
      <c r="K137" s="409"/>
      <c r="L137" s="409"/>
      <c r="M137" s="409"/>
      <c r="N137" s="409"/>
      <c r="O137" s="409"/>
      <c r="P137" s="409"/>
      <c r="Q137" s="409"/>
      <c r="R137" s="409"/>
      <c r="S137" s="409"/>
      <c r="T137" s="409"/>
      <c r="U137" s="409"/>
      <c r="V137" s="409"/>
      <c r="W137" s="409"/>
      <c r="X137" s="409"/>
      <c r="Y137" s="409"/>
      <c r="Z137" s="409"/>
      <c r="AA137" s="409"/>
      <c r="AB137" s="409"/>
      <c r="AC137" s="409"/>
      <c r="AD137" s="409"/>
      <c r="AE137" s="409"/>
      <c r="AF137" s="409"/>
      <c r="AG137" s="409"/>
      <c r="AH137" s="409"/>
      <c r="AI137" s="409"/>
      <c r="AJ137" s="409"/>
      <c r="AK137" s="409"/>
      <c r="AL137" s="409"/>
      <c r="AM137" s="409"/>
      <c r="AN137" s="409"/>
      <c r="AO137" s="409"/>
      <c r="AP137" s="409"/>
      <c r="AQ137" s="409"/>
      <c r="AR137" s="410"/>
    </row>
    <row r="138" spans="1:44" ht="18" customHeight="1">
      <c r="C138" s="411"/>
      <c r="D138" s="412"/>
      <c r="E138" s="412"/>
      <c r="F138" s="412"/>
      <c r="G138" s="412"/>
      <c r="H138" s="412"/>
      <c r="I138" s="409"/>
      <c r="J138" s="409"/>
      <c r="K138" s="409"/>
      <c r="L138" s="409"/>
      <c r="M138" s="409"/>
      <c r="N138" s="409"/>
      <c r="O138" s="409"/>
      <c r="P138" s="409"/>
      <c r="Q138" s="409"/>
      <c r="R138" s="409"/>
      <c r="S138" s="409"/>
      <c r="T138" s="409"/>
      <c r="U138" s="409"/>
      <c r="V138" s="409"/>
      <c r="W138" s="409"/>
      <c r="X138" s="409"/>
      <c r="Y138" s="409"/>
      <c r="Z138" s="409"/>
      <c r="AA138" s="409"/>
      <c r="AB138" s="409"/>
      <c r="AC138" s="409"/>
      <c r="AD138" s="409"/>
      <c r="AE138" s="409"/>
      <c r="AF138" s="409"/>
      <c r="AG138" s="409"/>
      <c r="AH138" s="409"/>
      <c r="AI138" s="409"/>
      <c r="AJ138" s="409"/>
      <c r="AK138" s="409"/>
      <c r="AL138" s="409"/>
      <c r="AM138" s="409"/>
      <c r="AN138" s="409"/>
      <c r="AO138" s="409"/>
      <c r="AP138" s="409"/>
      <c r="AQ138" s="409"/>
      <c r="AR138" s="410"/>
    </row>
    <row r="139" spans="1:44" ht="18" customHeight="1">
      <c r="C139" s="411"/>
      <c r="D139" s="412"/>
      <c r="E139" s="412"/>
      <c r="F139" s="412"/>
      <c r="G139" s="412"/>
      <c r="H139" s="412"/>
      <c r="I139" s="409"/>
      <c r="J139" s="409"/>
      <c r="K139" s="409"/>
      <c r="L139" s="409"/>
      <c r="M139" s="409"/>
      <c r="N139" s="409"/>
      <c r="O139" s="409"/>
      <c r="P139" s="409"/>
      <c r="Q139" s="409"/>
      <c r="R139" s="409"/>
      <c r="S139" s="409"/>
      <c r="T139" s="409"/>
      <c r="U139" s="409"/>
      <c r="V139" s="409"/>
      <c r="W139" s="409"/>
      <c r="X139" s="409"/>
      <c r="Y139" s="409"/>
      <c r="Z139" s="409"/>
      <c r="AA139" s="409"/>
      <c r="AB139" s="409"/>
      <c r="AC139" s="409"/>
      <c r="AD139" s="409"/>
      <c r="AE139" s="409"/>
      <c r="AF139" s="409"/>
      <c r="AG139" s="409"/>
      <c r="AH139" s="409"/>
      <c r="AI139" s="409"/>
      <c r="AJ139" s="409"/>
      <c r="AK139" s="409"/>
      <c r="AL139" s="409"/>
      <c r="AM139" s="409"/>
      <c r="AN139" s="409"/>
      <c r="AO139" s="409"/>
      <c r="AP139" s="409"/>
      <c r="AQ139" s="409"/>
      <c r="AR139" s="410"/>
    </row>
    <row r="140" spans="1:44" ht="18" customHeight="1">
      <c r="C140" s="411"/>
      <c r="D140" s="412"/>
      <c r="E140" s="412"/>
      <c r="F140" s="412"/>
      <c r="G140" s="412"/>
      <c r="H140" s="412"/>
      <c r="I140" s="409"/>
      <c r="J140" s="409"/>
      <c r="K140" s="409"/>
      <c r="L140" s="409"/>
      <c r="M140" s="409"/>
      <c r="N140" s="409"/>
      <c r="O140" s="409"/>
      <c r="P140" s="409"/>
      <c r="Q140" s="409"/>
      <c r="R140" s="409"/>
      <c r="S140" s="409"/>
      <c r="T140" s="409"/>
      <c r="U140" s="409"/>
      <c r="V140" s="409"/>
      <c r="W140" s="409"/>
      <c r="X140" s="409"/>
      <c r="Y140" s="409"/>
      <c r="Z140" s="409"/>
      <c r="AA140" s="409"/>
      <c r="AB140" s="409"/>
      <c r="AC140" s="409"/>
      <c r="AD140" s="409"/>
      <c r="AE140" s="409"/>
      <c r="AF140" s="409"/>
      <c r="AG140" s="409"/>
      <c r="AH140" s="409"/>
      <c r="AI140" s="409"/>
      <c r="AJ140" s="409"/>
      <c r="AK140" s="409"/>
      <c r="AL140" s="409"/>
      <c r="AM140" s="409"/>
      <c r="AN140" s="409"/>
      <c r="AO140" s="409"/>
      <c r="AP140" s="409"/>
      <c r="AQ140" s="409"/>
      <c r="AR140" s="410"/>
    </row>
    <row r="141" spans="1:44" ht="18" customHeight="1">
      <c r="C141" s="385"/>
      <c r="D141" s="386"/>
      <c r="E141" s="386"/>
      <c r="F141" s="386"/>
      <c r="G141" s="386"/>
      <c r="H141" s="386"/>
      <c r="I141" s="387"/>
      <c r="J141" s="387"/>
      <c r="K141" s="387"/>
      <c r="L141" s="387"/>
      <c r="M141" s="387"/>
      <c r="N141" s="387"/>
      <c r="O141" s="387"/>
      <c r="P141" s="387"/>
      <c r="Q141" s="387"/>
      <c r="R141" s="387"/>
      <c r="S141" s="387"/>
      <c r="T141" s="387"/>
      <c r="U141" s="387"/>
      <c r="V141" s="387"/>
      <c r="W141" s="387"/>
      <c r="X141" s="387"/>
      <c r="Y141" s="387"/>
      <c r="Z141" s="387"/>
      <c r="AA141" s="387"/>
      <c r="AB141" s="387"/>
      <c r="AC141" s="387"/>
      <c r="AD141" s="387"/>
      <c r="AE141" s="387"/>
      <c r="AF141" s="387"/>
      <c r="AG141" s="387"/>
      <c r="AH141" s="387"/>
      <c r="AI141" s="387"/>
      <c r="AJ141" s="387"/>
      <c r="AK141" s="387"/>
      <c r="AL141" s="387"/>
      <c r="AM141" s="387"/>
      <c r="AN141" s="387"/>
      <c r="AO141" s="387"/>
      <c r="AP141" s="387"/>
      <c r="AQ141" s="387"/>
      <c r="AR141" s="388"/>
    </row>
    <row r="143" spans="1:44" ht="18" customHeight="1">
      <c r="C143" s="389" t="s">
        <v>100</v>
      </c>
      <c r="D143" s="390"/>
      <c r="E143" s="390"/>
      <c r="F143" s="390"/>
      <c r="G143" s="390"/>
      <c r="H143" s="390"/>
      <c r="I143" s="390"/>
      <c r="J143" s="390"/>
      <c r="K143" s="390"/>
      <c r="L143" s="390"/>
      <c r="M143" s="390"/>
      <c r="N143" s="390"/>
      <c r="O143" s="390"/>
      <c r="P143" s="390"/>
      <c r="Q143" s="390"/>
      <c r="R143" s="390"/>
      <c r="S143" s="390"/>
      <c r="T143" s="390"/>
      <c r="U143" s="390"/>
      <c r="V143" s="390"/>
      <c r="W143" s="390"/>
      <c r="X143" s="390"/>
      <c r="Y143" s="390"/>
      <c r="Z143" s="390"/>
      <c r="AA143" s="391"/>
      <c r="AB143" s="392" t="str">
        <f>[4]C.UNIT.SERV.!$E$5</f>
        <v>DATA-BASE:      MAIO/2011/PR</v>
      </c>
      <c r="AC143" s="393"/>
      <c r="AD143" s="393"/>
      <c r="AE143" s="393"/>
      <c r="AF143" s="393"/>
      <c r="AG143" s="393"/>
      <c r="AH143" s="393"/>
      <c r="AI143" s="394"/>
      <c r="AJ143" s="392"/>
      <c r="AK143" s="393"/>
      <c r="AL143" s="393"/>
      <c r="AM143" s="393"/>
      <c r="AN143" s="393"/>
      <c r="AO143" s="393"/>
      <c r="AP143" s="393"/>
      <c r="AQ143" s="393"/>
      <c r="AR143" s="401"/>
    </row>
    <row r="144" spans="1:44" ht="18" customHeight="1">
      <c r="C144" s="404" t="s">
        <v>101</v>
      </c>
      <c r="D144" s="405"/>
      <c r="E144" s="405"/>
      <c r="F144" s="405"/>
      <c r="G144" s="405" t="s">
        <v>283</v>
      </c>
      <c r="H144" s="405"/>
      <c r="I144" s="405"/>
      <c r="J144" s="405"/>
      <c r="K144" s="405"/>
      <c r="L144" s="405"/>
      <c r="M144" s="405"/>
      <c r="N144" s="405"/>
      <c r="O144" s="405"/>
      <c r="P144" s="405"/>
      <c r="Q144" s="405"/>
      <c r="R144" s="405"/>
      <c r="S144" s="405"/>
      <c r="T144" s="405"/>
      <c r="U144" s="405"/>
      <c r="V144" s="405"/>
      <c r="W144" s="405"/>
      <c r="X144" s="405"/>
      <c r="Y144" s="405"/>
      <c r="Z144" s="405"/>
      <c r="AA144" s="406"/>
      <c r="AB144" s="395"/>
      <c r="AC144" s="396"/>
      <c r="AD144" s="396"/>
      <c r="AE144" s="396"/>
      <c r="AF144" s="396"/>
      <c r="AG144" s="396"/>
      <c r="AH144" s="396"/>
      <c r="AI144" s="397"/>
      <c r="AJ144" s="395"/>
      <c r="AK144" s="396"/>
      <c r="AL144" s="396"/>
      <c r="AM144" s="396"/>
      <c r="AN144" s="396"/>
      <c r="AO144" s="396"/>
      <c r="AP144" s="396"/>
      <c r="AQ144" s="396"/>
      <c r="AR144" s="402"/>
    </row>
    <row r="145" spans="3:44" ht="18" customHeight="1">
      <c r="C145" s="404" t="s">
        <v>102</v>
      </c>
      <c r="D145" s="405"/>
      <c r="E145" s="405"/>
      <c r="F145" s="405"/>
      <c r="G145" s="405"/>
      <c r="H145" s="405"/>
      <c r="I145" s="405"/>
      <c r="J145" s="405"/>
      <c r="K145" s="405"/>
      <c r="L145" s="405"/>
      <c r="M145" s="405"/>
      <c r="N145" s="405"/>
      <c r="O145" s="405"/>
      <c r="P145" s="405"/>
      <c r="Q145" s="405"/>
      <c r="R145" s="405"/>
      <c r="S145" s="405"/>
      <c r="T145" s="405"/>
      <c r="U145" s="405"/>
      <c r="V145" s="405"/>
      <c r="W145" s="405"/>
      <c r="X145" s="405"/>
      <c r="Y145" s="405"/>
      <c r="Z145" s="405"/>
      <c r="AA145" s="406"/>
      <c r="AB145" s="395"/>
      <c r="AC145" s="396"/>
      <c r="AD145" s="396"/>
      <c r="AE145" s="396"/>
      <c r="AF145" s="396"/>
      <c r="AG145" s="396"/>
      <c r="AH145" s="396"/>
      <c r="AI145" s="397"/>
      <c r="AJ145" s="395"/>
      <c r="AK145" s="396"/>
      <c r="AL145" s="396"/>
      <c r="AM145" s="396"/>
      <c r="AN145" s="396"/>
      <c r="AO145" s="396"/>
      <c r="AP145" s="396"/>
      <c r="AQ145" s="396"/>
      <c r="AR145" s="402"/>
    </row>
    <row r="146" spans="3:44" ht="18" customHeight="1">
      <c r="C146" s="407"/>
      <c r="D146" s="408"/>
      <c r="E146" s="408"/>
      <c r="F146" s="408"/>
      <c r="G146" s="408"/>
      <c r="H146" s="408"/>
      <c r="I146" s="408"/>
      <c r="J146" s="408"/>
      <c r="K146" s="408"/>
      <c r="L146" s="408"/>
      <c r="M146" s="408"/>
      <c r="N146" s="408"/>
      <c r="O146" s="408"/>
      <c r="P146" s="408"/>
      <c r="Q146" s="408"/>
      <c r="R146" s="408"/>
      <c r="S146" s="408"/>
      <c r="T146" s="408"/>
      <c r="U146" s="408"/>
      <c r="V146" s="408"/>
      <c r="W146" s="408"/>
      <c r="X146" s="408"/>
      <c r="Y146" s="408"/>
      <c r="Z146" s="408"/>
      <c r="AA146" s="408"/>
      <c r="AB146" s="398"/>
      <c r="AC146" s="399"/>
      <c r="AD146" s="399"/>
      <c r="AE146" s="399"/>
      <c r="AF146" s="399"/>
      <c r="AG146" s="399"/>
      <c r="AH146" s="399"/>
      <c r="AI146" s="400"/>
      <c r="AJ146" s="398"/>
      <c r="AK146" s="399"/>
      <c r="AL146" s="399"/>
      <c r="AM146" s="399"/>
      <c r="AN146" s="399"/>
      <c r="AO146" s="399"/>
      <c r="AP146" s="399"/>
      <c r="AQ146" s="399"/>
      <c r="AR146" s="403"/>
    </row>
    <row r="148" spans="3:44" ht="18" customHeight="1">
      <c r="C148" s="850" t="s">
        <v>64</v>
      </c>
      <c r="D148" s="851"/>
      <c r="E148" s="851"/>
      <c r="F148" s="851"/>
      <c r="G148" s="851"/>
      <c r="H148" s="851"/>
      <c r="I148" s="851"/>
      <c r="J148" s="851"/>
      <c r="K148" s="851"/>
      <c r="L148" s="851"/>
      <c r="M148" s="851"/>
      <c r="N148" s="851"/>
      <c r="O148" s="851"/>
      <c r="P148" s="851"/>
      <c r="Q148" s="851"/>
      <c r="R148" s="851"/>
      <c r="S148" s="851"/>
      <c r="T148" s="851"/>
      <c r="U148" s="851"/>
      <c r="V148" s="851"/>
      <c r="W148" s="851"/>
      <c r="X148" s="851"/>
      <c r="Y148" s="851"/>
      <c r="Z148" s="851"/>
      <c r="AA148" s="851"/>
      <c r="AB148" s="851"/>
      <c r="AC148" s="851"/>
      <c r="AD148" s="851"/>
      <c r="AE148" s="851"/>
      <c r="AF148" s="851"/>
      <c r="AG148" s="851"/>
      <c r="AH148" s="851"/>
      <c r="AI148" s="851"/>
      <c r="AJ148" s="851"/>
      <c r="AK148" s="851"/>
      <c r="AL148" s="851"/>
      <c r="AM148" s="851"/>
      <c r="AN148" s="851"/>
      <c r="AO148" s="851"/>
      <c r="AP148" s="851"/>
      <c r="AQ148" s="851"/>
      <c r="AR148" s="852"/>
    </row>
    <row r="149" spans="3:44" ht="18" customHeight="1">
      <c r="C149" s="853"/>
      <c r="D149" s="854"/>
      <c r="E149" s="854"/>
      <c r="F149" s="854"/>
      <c r="G149" s="854"/>
      <c r="H149" s="854"/>
      <c r="I149" s="854"/>
      <c r="J149" s="854"/>
      <c r="K149" s="854"/>
      <c r="L149" s="854"/>
      <c r="M149" s="854"/>
      <c r="N149" s="854"/>
      <c r="O149" s="854"/>
      <c r="P149" s="854"/>
      <c r="Q149" s="854"/>
      <c r="R149" s="854"/>
      <c r="S149" s="854"/>
      <c r="T149" s="854"/>
      <c r="U149" s="854"/>
      <c r="V149" s="854"/>
      <c r="W149" s="854"/>
      <c r="X149" s="854"/>
      <c r="Y149" s="854"/>
      <c r="Z149" s="854"/>
      <c r="AA149" s="854"/>
      <c r="AB149" s="854"/>
      <c r="AC149" s="854"/>
      <c r="AD149" s="854"/>
      <c r="AE149" s="854"/>
      <c r="AF149" s="854"/>
      <c r="AG149" s="854"/>
      <c r="AH149" s="854"/>
      <c r="AI149" s="854"/>
      <c r="AJ149" s="854"/>
      <c r="AK149" s="854"/>
      <c r="AL149" s="854"/>
      <c r="AM149" s="854"/>
      <c r="AN149" s="854"/>
      <c r="AO149" s="854"/>
      <c r="AP149" s="854"/>
      <c r="AQ149" s="854"/>
      <c r="AR149" s="855"/>
    </row>
    <row r="150" spans="3:44" ht="18" customHeight="1">
      <c r="C150" s="856" t="s">
        <v>65</v>
      </c>
      <c r="D150" s="857"/>
      <c r="E150" s="857"/>
      <c r="F150" s="857"/>
      <c r="G150" s="860" t="s">
        <v>777</v>
      </c>
      <c r="H150" s="860"/>
      <c r="I150" s="860"/>
      <c r="J150" s="861"/>
      <c r="K150" s="864" t="s">
        <v>66</v>
      </c>
      <c r="L150" s="865"/>
      <c r="M150" s="865"/>
      <c r="N150" s="865"/>
      <c r="O150" s="526" t="s">
        <v>789</v>
      </c>
      <c r="P150" s="526"/>
      <c r="Q150" s="526"/>
      <c r="R150" s="526"/>
      <c r="S150" s="526"/>
      <c r="T150" s="526"/>
      <c r="U150" s="526"/>
      <c r="V150" s="526"/>
      <c r="W150" s="526"/>
      <c r="X150" s="526"/>
      <c r="Y150" s="526"/>
      <c r="Z150" s="526"/>
      <c r="AA150" s="526"/>
      <c r="AB150" s="526"/>
      <c r="AC150" s="526"/>
      <c r="AD150" s="526"/>
      <c r="AE150" s="526"/>
      <c r="AF150" s="526"/>
      <c r="AG150" s="526"/>
      <c r="AH150" s="526"/>
      <c r="AI150" s="526"/>
      <c r="AJ150" s="526"/>
      <c r="AK150" s="527"/>
      <c r="AL150" s="864" t="s">
        <v>67</v>
      </c>
      <c r="AM150" s="865"/>
      <c r="AN150" s="865"/>
      <c r="AO150" s="865"/>
      <c r="AP150" s="843" t="s">
        <v>194</v>
      </c>
      <c r="AQ150" s="843"/>
      <c r="AR150" s="844"/>
    </row>
    <row r="151" spans="3:44" ht="18" customHeight="1">
      <c r="C151" s="858"/>
      <c r="D151" s="859"/>
      <c r="E151" s="859"/>
      <c r="F151" s="859"/>
      <c r="G151" s="862"/>
      <c r="H151" s="862"/>
      <c r="I151" s="862"/>
      <c r="J151" s="863"/>
      <c r="K151" s="866"/>
      <c r="L151" s="867"/>
      <c r="M151" s="867"/>
      <c r="N151" s="867"/>
      <c r="O151" s="528"/>
      <c r="P151" s="528"/>
      <c r="Q151" s="528"/>
      <c r="R151" s="528"/>
      <c r="S151" s="528"/>
      <c r="T151" s="528"/>
      <c r="U151" s="528"/>
      <c r="V151" s="528"/>
      <c r="W151" s="528"/>
      <c r="X151" s="528"/>
      <c r="Y151" s="528"/>
      <c r="Z151" s="528"/>
      <c r="AA151" s="528"/>
      <c r="AB151" s="528"/>
      <c r="AC151" s="528"/>
      <c r="AD151" s="528"/>
      <c r="AE151" s="528"/>
      <c r="AF151" s="528"/>
      <c r="AG151" s="528"/>
      <c r="AH151" s="528"/>
      <c r="AI151" s="528"/>
      <c r="AJ151" s="528"/>
      <c r="AK151" s="529"/>
      <c r="AL151" s="866"/>
      <c r="AM151" s="867"/>
      <c r="AN151" s="867"/>
      <c r="AO151" s="867"/>
      <c r="AP151" s="845"/>
      <c r="AQ151" s="845"/>
      <c r="AR151" s="846"/>
    </row>
    <row r="153" spans="3:44" ht="18" customHeight="1">
      <c r="C153" s="794" t="s">
        <v>43</v>
      </c>
      <c r="D153" s="774"/>
      <c r="E153" s="775"/>
      <c r="F153" s="773" t="s">
        <v>68</v>
      </c>
      <c r="G153" s="774"/>
      <c r="H153" s="774"/>
      <c r="I153" s="774"/>
      <c r="J153" s="774"/>
      <c r="K153" s="774"/>
      <c r="L153" s="774"/>
      <c r="M153" s="774"/>
      <c r="N153" s="774"/>
      <c r="O153" s="774"/>
      <c r="P153" s="774"/>
      <c r="Q153" s="774"/>
      <c r="R153" s="774"/>
      <c r="S153" s="774"/>
      <c r="T153" s="774"/>
      <c r="U153" s="775"/>
      <c r="V153" s="773" t="s">
        <v>249</v>
      </c>
      <c r="W153" s="774"/>
      <c r="X153" s="775"/>
      <c r="Y153" s="847" t="s">
        <v>69</v>
      </c>
      <c r="Z153" s="848"/>
      <c r="AA153" s="848"/>
      <c r="AB153" s="848"/>
      <c r="AC153" s="848"/>
      <c r="AD153" s="848"/>
      <c r="AE153" s="848"/>
      <c r="AF153" s="849"/>
      <c r="AG153" s="847" t="s">
        <v>70</v>
      </c>
      <c r="AH153" s="848"/>
      <c r="AI153" s="848"/>
      <c r="AJ153" s="848"/>
      <c r="AK153" s="848"/>
      <c r="AL153" s="848"/>
      <c r="AM153" s="848"/>
      <c r="AN153" s="849"/>
      <c r="AO153" s="773" t="s">
        <v>71</v>
      </c>
      <c r="AP153" s="774"/>
      <c r="AQ153" s="774"/>
      <c r="AR153" s="779"/>
    </row>
    <row r="154" spans="3:44" ht="18" customHeight="1">
      <c r="C154" s="795"/>
      <c r="D154" s="777"/>
      <c r="E154" s="778"/>
      <c r="F154" s="776"/>
      <c r="G154" s="777"/>
      <c r="H154" s="777"/>
      <c r="I154" s="777"/>
      <c r="J154" s="777"/>
      <c r="K154" s="777"/>
      <c r="L154" s="777"/>
      <c r="M154" s="777"/>
      <c r="N154" s="777"/>
      <c r="O154" s="777"/>
      <c r="P154" s="777"/>
      <c r="Q154" s="777"/>
      <c r="R154" s="777"/>
      <c r="S154" s="777"/>
      <c r="T154" s="777"/>
      <c r="U154" s="778"/>
      <c r="V154" s="776"/>
      <c r="W154" s="777"/>
      <c r="X154" s="778"/>
      <c r="Y154" s="834" t="s">
        <v>72</v>
      </c>
      <c r="Z154" s="835"/>
      <c r="AA154" s="835"/>
      <c r="AB154" s="836"/>
      <c r="AC154" s="834" t="s">
        <v>73</v>
      </c>
      <c r="AD154" s="835"/>
      <c r="AE154" s="835"/>
      <c r="AF154" s="836"/>
      <c r="AG154" s="834" t="s">
        <v>72</v>
      </c>
      <c r="AH154" s="835"/>
      <c r="AI154" s="835"/>
      <c r="AJ154" s="836"/>
      <c r="AK154" s="834" t="s">
        <v>73</v>
      </c>
      <c r="AL154" s="835"/>
      <c r="AM154" s="835"/>
      <c r="AN154" s="836"/>
      <c r="AO154" s="776"/>
      <c r="AP154" s="777"/>
      <c r="AQ154" s="777"/>
      <c r="AR154" s="780"/>
    </row>
    <row r="155" spans="3:44" ht="18" customHeight="1">
      <c r="C155" s="781"/>
      <c r="D155" s="782"/>
      <c r="E155" s="783"/>
      <c r="F155" s="493"/>
      <c r="G155" s="493"/>
      <c r="H155" s="493"/>
      <c r="I155" s="493"/>
      <c r="J155" s="493"/>
      <c r="K155" s="493"/>
      <c r="L155" s="493"/>
      <c r="M155" s="493"/>
      <c r="N155" s="493"/>
      <c r="O155" s="493"/>
      <c r="P155" s="493"/>
      <c r="Q155" s="493"/>
      <c r="R155" s="493"/>
      <c r="S155" s="493"/>
      <c r="T155" s="493"/>
      <c r="U155" s="493"/>
      <c r="V155" s="837"/>
      <c r="W155" s="838"/>
      <c r="X155" s="839"/>
      <c r="Y155" s="837"/>
      <c r="Z155" s="838"/>
      <c r="AA155" s="838"/>
      <c r="AB155" s="839"/>
      <c r="AC155" s="868"/>
      <c r="AD155" s="869"/>
      <c r="AE155" s="869"/>
      <c r="AF155" s="870"/>
      <c r="AG155" s="491"/>
      <c r="AH155" s="491"/>
      <c r="AI155" s="491"/>
      <c r="AJ155" s="491"/>
      <c r="AK155" s="491"/>
      <c r="AL155" s="491"/>
      <c r="AM155" s="491"/>
      <c r="AN155" s="491"/>
      <c r="AO155" s="491"/>
      <c r="AP155" s="491"/>
      <c r="AQ155" s="491"/>
      <c r="AR155" s="492"/>
    </row>
    <row r="156" spans="3:44" ht="18" customHeight="1">
      <c r="C156" s="758"/>
      <c r="D156" s="759"/>
      <c r="E156" s="760"/>
      <c r="F156" s="493"/>
      <c r="G156" s="493"/>
      <c r="H156" s="493"/>
      <c r="I156" s="493"/>
      <c r="J156" s="493"/>
      <c r="K156" s="493"/>
      <c r="L156" s="493"/>
      <c r="M156" s="493"/>
      <c r="N156" s="493"/>
      <c r="O156" s="493"/>
      <c r="P156" s="493"/>
      <c r="Q156" s="493"/>
      <c r="R156" s="493"/>
      <c r="S156" s="493"/>
      <c r="T156" s="493"/>
      <c r="U156" s="493"/>
      <c r="V156" s="466"/>
      <c r="W156" s="467"/>
      <c r="X156" s="468"/>
      <c r="Y156" s="466"/>
      <c r="Z156" s="467"/>
      <c r="AA156" s="467"/>
      <c r="AB156" s="468"/>
      <c r="AC156" s="828"/>
      <c r="AD156" s="829"/>
      <c r="AE156" s="829"/>
      <c r="AF156" s="830"/>
      <c r="AG156" s="491"/>
      <c r="AH156" s="491"/>
      <c r="AI156" s="491"/>
      <c r="AJ156" s="491"/>
      <c r="AK156" s="491"/>
      <c r="AL156" s="491"/>
      <c r="AM156" s="491"/>
      <c r="AN156" s="491"/>
      <c r="AO156" s="491"/>
      <c r="AP156" s="491"/>
      <c r="AQ156" s="491"/>
      <c r="AR156" s="492"/>
    </row>
    <row r="157" spans="3:44" ht="18" customHeight="1">
      <c r="C157" s="758"/>
      <c r="D157" s="759"/>
      <c r="E157" s="760"/>
      <c r="F157" s="493"/>
      <c r="G157" s="493"/>
      <c r="H157" s="493"/>
      <c r="I157" s="493"/>
      <c r="J157" s="493"/>
      <c r="K157" s="493"/>
      <c r="L157" s="493"/>
      <c r="M157" s="493"/>
      <c r="N157" s="493"/>
      <c r="O157" s="493"/>
      <c r="P157" s="493"/>
      <c r="Q157" s="493"/>
      <c r="R157" s="493"/>
      <c r="S157" s="493"/>
      <c r="T157" s="493"/>
      <c r="U157" s="493"/>
      <c r="V157" s="466"/>
      <c r="W157" s="467"/>
      <c r="X157" s="468"/>
      <c r="Y157" s="466"/>
      <c r="Z157" s="467"/>
      <c r="AA157" s="467"/>
      <c r="AB157" s="468"/>
      <c r="AC157" s="828"/>
      <c r="AD157" s="829"/>
      <c r="AE157" s="829"/>
      <c r="AF157" s="830"/>
      <c r="AG157" s="491"/>
      <c r="AH157" s="491"/>
      <c r="AI157" s="491"/>
      <c r="AJ157" s="491"/>
      <c r="AK157" s="491"/>
      <c r="AL157" s="491"/>
      <c r="AM157" s="491"/>
      <c r="AN157" s="491"/>
      <c r="AO157" s="491"/>
      <c r="AP157" s="491"/>
      <c r="AQ157" s="491"/>
      <c r="AR157" s="492"/>
    </row>
    <row r="158" spans="3:44" ht="18" customHeight="1">
      <c r="C158" s="758"/>
      <c r="D158" s="759"/>
      <c r="E158" s="760"/>
      <c r="F158" s="493"/>
      <c r="G158" s="493"/>
      <c r="H158" s="493"/>
      <c r="I158" s="493"/>
      <c r="J158" s="493"/>
      <c r="K158" s="493"/>
      <c r="L158" s="493"/>
      <c r="M158" s="493"/>
      <c r="N158" s="493"/>
      <c r="O158" s="493"/>
      <c r="P158" s="493"/>
      <c r="Q158" s="493"/>
      <c r="R158" s="493"/>
      <c r="S158" s="493"/>
      <c r="T158" s="493"/>
      <c r="U158" s="493"/>
      <c r="V158" s="466"/>
      <c r="W158" s="467"/>
      <c r="X158" s="468"/>
      <c r="Y158" s="466"/>
      <c r="Z158" s="467"/>
      <c r="AA158" s="467"/>
      <c r="AB158" s="468"/>
      <c r="AC158" s="828"/>
      <c r="AD158" s="829"/>
      <c r="AE158" s="829"/>
      <c r="AF158" s="830"/>
      <c r="AG158" s="491"/>
      <c r="AH158" s="491"/>
      <c r="AI158" s="491"/>
      <c r="AJ158" s="491"/>
      <c r="AK158" s="491"/>
      <c r="AL158" s="491"/>
      <c r="AM158" s="491"/>
      <c r="AN158" s="491"/>
      <c r="AO158" s="491"/>
      <c r="AP158" s="491"/>
      <c r="AQ158" s="491"/>
      <c r="AR158" s="492"/>
    </row>
    <row r="159" spans="3:44" ht="18" customHeight="1">
      <c r="C159" s="758"/>
      <c r="D159" s="759"/>
      <c r="E159" s="760"/>
      <c r="F159" s="493"/>
      <c r="G159" s="493"/>
      <c r="H159" s="493"/>
      <c r="I159" s="493"/>
      <c r="J159" s="493"/>
      <c r="K159" s="493"/>
      <c r="L159" s="493"/>
      <c r="M159" s="493"/>
      <c r="N159" s="493"/>
      <c r="O159" s="493"/>
      <c r="P159" s="493"/>
      <c r="Q159" s="493"/>
      <c r="R159" s="493"/>
      <c r="S159" s="493"/>
      <c r="T159" s="493"/>
      <c r="U159" s="493"/>
      <c r="V159" s="466"/>
      <c r="W159" s="467"/>
      <c r="X159" s="468"/>
      <c r="Y159" s="466"/>
      <c r="Z159" s="467"/>
      <c r="AA159" s="467"/>
      <c r="AB159" s="468"/>
      <c r="AC159" s="828"/>
      <c r="AD159" s="829"/>
      <c r="AE159" s="829"/>
      <c r="AF159" s="830"/>
      <c r="AG159" s="491"/>
      <c r="AH159" s="491"/>
      <c r="AI159" s="491"/>
      <c r="AJ159" s="491"/>
      <c r="AK159" s="491"/>
      <c r="AL159" s="491"/>
      <c r="AM159" s="491"/>
      <c r="AN159" s="491"/>
      <c r="AO159" s="491"/>
      <c r="AP159" s="491"/>
      <c r="AQ159" s="491"/>
      <c r="AR159" s="492"/>
    </row>
    <row r="160" spans="3:44" ht="18" customHeight="1">
      <c r="C160" s="758"/>
      <c r="D160" s="759"/>
      <c r="E160" s="760"/>
      <c r="F160" s="493"/>
      <c r="G160" s="493"/>
      <c r="H160" s="493"/>
      <c r="I160" s="493"/>
      <c r="J160" s="493"/>
      <c r="K160" s="493"/>
      <c r="L160" s="493"/>
      <c r="M160" s="493"/>
      <c r="N160" s="493"/>
      <c r="O160" s="493"/>
      <c r="P160" s="493"/>
      <c r="Q160" s="493"/>
      <c r="R160" s="493"/>
      <c r="S160" s="493"/>
      <c r="T160" s="493"/>
      <c r="U160" s="493"/>
      <c r="V160" s="466"/>
      <c r="W160" s="467"/>
      <c r="X160" s="468"/>
      <c r="Y160" s="466"/>
      <c r="Z160" s="467"/>
      <c r="AA160" s="467"/>
      <c r="AB160" s="468"/>
      <c r="AC160" s="828"/>
      <c r="AD160" s="829"/>
      <c r="AE160" s="829"/>
      <c r="AF160" s="830"/>
      <c r="AG160" s="491"/>
      <c r="AH160" s="491"/>
      <c r="AI160" s="491"/>
      <c r="AJ160" s="491"/>
      <c r="AK160" s="491"/>
      <c r="AL160" s="491"/>
      <c r="AM160" s="491"/>
      <c r="AN160" s="491"/>
      <c r="AO160" s="491"/>
      <c r="AP160" s="491"/>
      <c r="AQ160" s="491"/>
      <c r="AR160" s="492"/>
    </row>
    <row r="161" spans="3:44" ht="18" customHeight="1">
      <c r="C161" s="758"/>
      <c r="D161" s="759"/>
      <c r="E161" s="760"/>
      <c r="F161" s="796"/>
      <c r="G161" s="797"/>
      <c r="H161" s="797"/>
      <c r="I161" s="797"/>
      <c r="J161" s="797"/>
      <c r="K161" s="797"/>
      <c r="L161" s="797"/>
      <c r="M161" s="797"/>
      <c r="N161" s="797"/>
      <c r="O161" s="797"/>
      <c r="P161" s="797"/>
      <c r="Q161" s="797"/>
      <c r="R161" s="797"/>
      <c r="S161" s="797"/>
      <c r="T161" s="797"/>
      <c r="U161" s="798"/>
      <c r="V161" s="466"/>
      <c r="W161" s="467"/>
      <c r="X161" s="468"/>
      <c r="Y161" s="466"/>
      <c r="Z161" s="467"/>
      <c r="AA161" s="467"/>
      <c r="AB161" s="468"/>
      <c r="AC161" s="828"/>
      <c r="AD161" s="829"/>
      <c r="AE161" s="829"/>
      <c r="AF161" s="830"/>
      <c r="AG161" s="466"/>
      <c r="AH161" s="467"/>
      <c r="AI161" s="467"/>
      <c r="AJ161" s="468"/>
      <c r="AK161" s="466"/>
      <c r="AL161" s="467"/>
      <c r="AM161" s="467"/>
      <c r="AN161" s="468"/>
      <c r="AO161" s="466"/>
      <c r="AP161" s="467"/>
      <c r="AQ161" s="467"/>
      <c r="AR161" s="823"/>
    </row>
    <row r="162" spans="3:44" ht="18" customHeight="1">
      <c r="C162" s="758"/>
      <c r="D162" s="759"/>
      <c r="E162" s="760"/>
      <c r="F162" s="796"/>
      <c r="G162" s="797"/>
      <c r="H162" s="797"/>
      <c r="I162" s="797"/>
      <c r="J162" s="797"/>
      <c r="K162" s="797"/>
      <c r="L162" s="797"/>
      <c r="M162" s="797"/>
      <c r="N162" s="797"/>
      <c r="O162" s="797"/>
      <c r="P162" s="797"/>
      <c r="Q162" s="797"/>
      <c r="R162" s="797"/>
      <c r="S162" s="797"/>
      <c r="T162" s="797"/>
      <c r="U162" s="798"/>
      <c r="V162" s="466"/>
      <c r="W162" s="467"/>
      <c r="X162" s="468"/>
      <c r="Y162" s="466"/>
      <c r="Z162" s="467"/>
      <c r="AA162" s="467"/>
      <c r="AB162" s="468"/>
      <c r="AC162" s="828"/>
      <c r="AD162" s="829"/>
      <c r="AE162" s="829"/>
      <c r="AF162" s="830"/>
      <c r="AG162" s="466"/>
      <c r="AH162" s="467"/>
      <c r="AI162" s="467"/>
      <c r="AJ162" s="468"/>
      <c r="AK162" s="466"/>
      <c r="AL162" s="467"/>
      <c r="AM162" s="467"/>
      <c r="AN162" s="468"/>
      <c r="AO162" s="466"/>
      <c r="AP162" s="467"/>
      <c r="AQ162" s="467"/>
      <c r="AR162" s="823"/>
    </row>
    <row r="163" spans="3:44" ht="18" customHeight="1">
      <c r="C163" s="743"/>
      <c r="D163" s="744"/>
      <c r="E163" s="744"/>
      <c r="F163" s="744"/>
      <c r="G163" s="744"/>
      <c r="H163" s="744"/>
      <c r="I163" s="744"/>
      <c r="J163" s="744"/>
      <c r="K163" s="744"/>
      <c r="L163" s="744"/>
      <c r="M163" s="744"/>
      <c r="N163" s="744"/>
      <c r="O163" s="744"/>
      <c r="P163" s="744"/>
      <c r="Q163" s="744"/>
      <c r="R163" s="744"/>
      <c r="S163" s="744"/>
      <c r="T163" s="744"/>
      <c r="U163" s="744"/>
      <c r="V163" s="744"/>
      <c r="W163" s="744"/>
      <c r="X163" s="824"/>
      <c r="Y163" s="825" t="s">
        <v>74</v>
      </c>
      <c r="Z163" s="826"/>
      <c r="AA163" s="826"/>
      <c r="AB163" s="826"/>
      <c r="AC163" s="826"/>
      <c r="AD163" s="826"/>
      <c r="AE163" s="826"/>
      <c r="AF163" s="826"/>
      <c r="AG163" s="826"/>
      <c r="AH163" s="826"/>
      <c r="AI163" s="826"/>
      <c r="AJ163" s="826"/>
      <c r="AK163" s="826"/>
      <c r="AL163" s="826"/>
      <c r="AM163" s="826"/>
      <c r="AN163" s="827"/>
      <c r="AO163" s="477">
        <f>SUM(AO155:AR162)</f>
        <v>0</v>
      </c>
      <c r="AP163" s="746"/>
      <c r="AQ163" s="746"/>
      <c r="AR163" s="747"/>
    </row>
    <row r="165" spans="3:44" ht="18" customHeight="1">
      <c r="C165" s="794" t="s">
        <v>43</v>
      </c>
      <c r="D165" s="774"/>
      <c r="E165" s="775"/>
      <c r="F165" s="773" t="s">
        <v>75</v>
      </c>
      <c r="G165" s="774"/>
      <c r="H165" s="774"/>
      <c r="I165" s="774"/>
      <c r="J165" s="774"/>
      <c r="K165" s="774"/>
      <c r="L165" s="774"/>
      <c r="M165" s="774"/>
      <c r="N165" s="774"/>
      <c r="O165" s="774"/>
      <c r="P165" s="774"/>
      <c r="Q165" s="774"/>
      <c r="R165" s="774"/>
      <c r="S165" s="774"/>
      <c r="T165" s="774"/>
      <c r="U165" s="774"/>
      <c r="V165" s="774"/>
      <c r="W165" s="774"/>
      <c r="X165" s="774"/>
      <c r="Y165" s="774"/>
      <c r="Z165" s="774"/>
      <c r="AA165" s="774"/>
      <c r="AB165" s="775"/>
      <c r="AC165" s="773" t="s">
        <v>76</v>
      </c>
      <c r="AD165" s="774"/>
      <c r="AE165" s="774"/>
      <c r="AF165" s="775"/>
      <c r="AG165" s="773" t="s">
        <v>249</v>
      </c>
      <c r="AH165" s="774"/>
      <c r="AI165" s="774"/>
      <c r="AJ165" s="775"/>
      <c r="AK165" s="773" t="s">
        <v>77</v>
      </c>
      <c r="AL165" s="774"/>
      <c r="AM165" s="774"/>
      <c r="AN165" s="775"/>
      <c r="AO165" s="773" t="s">
        <v>71</v>
      </c>
      <c r="AP165" s="774"/>
      <c r="AQ165" s="774"/>
      <c r="AR165" s="779"/>
    </row>
    <row r="166" spans="3:44" ht="18" customHeight="1">
      <c r="C166" s="795"/>
      <c r="D166" s="777"/>
      <c r="E166" s="778"/>
      <c r="F166" s="776"/>
      <c r="G166" s="777"/>
      <c r="H166" s="777"/>
      <c r="I166" s="777"/>
      <c r="J166" s="777"/>
      <c r="K166" s="777"/>
      <c r="L166" s="777"/>
      <c r="M166" s="777"/>
      <c r="N166" s="777"/>
      <c r="O166" s="777"/>
      <c r="P166" s="777"/>
      <c r="Q166" s="777"/>
      <c r="R166" s="777"/>
      <c r="S166" s="777"/>
      <c r="T166" s="777"/>
      <c r="U166" s="777"/>
      <c r="V166" s="777"/>
      <c r="W166" s="777"/>
      <c r="X166" s="777"/>
      <c r="Y166" s="777"/>
      <c r="Z166" s="777"/>
      <c r="AA166" s="777"/>
      <c r="AB166" s="778"/>
      <c r="AC166" s="776"/>
      <c r="AD166" s="777"/>
      <c r="AE166" s="777"/>
      <c r="AF166" s="778"/>
      <c r="AG166" s="776"/>
      <c r="AH166" s="777"/>
      <c r="AI166" s="777"/>
      <c r="AJ166" s="778"/>
      <c r="AK166" s="776"/>
      <c r="AL166" s="777"/>
      <c r="AM166" s="777"/>
      <c r="AN166" s="778"/>
      <c r="AO166" s="776"/>
      <c r="AP166" s="777"/>
      <c r="AQ166" s="777"/>
      <c r="AR166" s="780"/>
    </row>
    <row r="167" spans="3:44" ht="18" customHeight="1">
      <c r="C167" s="781" t="s">
        <v>940</v>
      </c>
      <c r="D167" s="782"/>
      <c r="E167" s="783"/>
      <c r="F167" s="493" t="s">
        <v>105</v>
      </c>
      <c r="G167" s="493"/>
      <c r="H167" s="493"/>
      <c r="I167" s="493"/>
      <c r="J167" s="493"/>
      <c r="K167" s="493"/>
      <c r="L167" s="493"/>
      <c r="M167" s="493"/>
      <c r="N167" s="493"/>
      <c r="O167" s="493"/>
      <c r="P167" s="493"/>
      <c r="Q167" s="493"/>
      <c r="R167" s="493"/>
      <c r="S167" s="493"/>
      <c r="T167" s="493"/>
      <c r="U167" s="493"/>
      <c r="V167" s="493"/>
      <c r="W167" s="493"/>
      <c r="X167" s="493"/>
      <c r="Y167" s="493"/>
      <c r="Z167" s="493"/>
      <c r="AA167" s="493"/>
      <c r="AB167" s="493"/>
      <c r="AC167" s="770"/>
      <c r="AD167" s="771"/>
      <c r="AE167" s="771"/>
      <c r="AF167" s="790"/>
      <c r="AG167" s="770">
        <v>0.5</v>
      </c>
      <c r="AH167" s="771"/>
      <c r="AI167" s="771"/>
      <c r="AJ167" s="790"/>
      <c r="AK167" s="449">
        <f>VLOOKUP(C167,[4]MÃODEOBRA!A$1:D$65536,4,FALSE)</f>
        <v>22.98488</v>
      </c>
      <c r="AL167" s="449"/>
      <c r="AM167" s="449"/>
      <c r="AN167" s="449"/>
      <c r="AO167" s="491">
        <f>ROUND(AG167*AK167,2)</f>
        <v>11.49</v>
      </c>
      <c r="AP167" s="491"/>
      <c r="AQ167" s="491"/>
      <c r="AR167" s="492"/>
    </row>
    <row r="168" spans="3:44" ht="18" customHeight="1">
      <c r="C168" s="758"/>
      <c r="D168" s="759"/>
      <c r="E168" s="760"/>
      <c r="F168" s="493"/>
      <c r="G168" s="493"/>
      <c r="H168" s="493"/>
      <c r="I168" s="493"/>
      <c r="J168" s="493"/>
      <c r="K168" s="493"/>
      <c r="L168" s="493"/>
      <c r="M168" s="493"/>
      <c r="N168" s="493"/>
      <c r="O168" s="493"/>
      <c r="P168" s="493"/>
      <c r="Q168" s="493"/>
      <c r="R168" s="493"/>
      <c r="S168" s="493"/>
      <c r="T168" s="493"/>
      <c r="U168" s="493"/>
      <c r="V168" s="493"/>
      <c r="W168" s="493"/>
      <c r="X168" s="493"/>
      <c r="Y168" s="493"/>
      <c r="Z168" s="493"/>
      <c r="AA168" s="493"/>
      <c r="AB168" s="493"/>
      <c r="AC168" s="740"/>
      <c r="AD168" s="741"/>
      <c r="AE168" s="741"/>
      <c r="AF168" s="757"/>
      <c r="AG168" s="740"/>
      <c r="AH168" s="741"/>
      <c r="AI168" s="741"/>
      <c r="AJ168" s="757"/>
      <c r="AK168" s="449"/>
      <c r="AL168" s="449"/>
      <c r="AM168" s="449"/>
      <c r="AN168" s="449"/>
      <c r="AO168" s="491"/>
      <c r="AP168" s="491"/>
      <c r="AQ168" s="491"/>
      <c r="AR168" s="492"/>
    </row>
    <row r="169" spans="3:44" ht="18" customHeight="1">
      <c r="C169" s="758"/>
      <c r="D169" s="759"/>
      <c r="E169" s="760"/>
      <c r="F169" s="796"/>
      <c r="G169" s="797"/>
      <c r="H169" s="797"/>
      <c r="I169" s="797"/>
      <c r="J169" s="797"/>
      <c r="K169" s="797"/>
      <c r="L169" s="797"/>
      <c r="M169" s="797"/>
      <c r="N169" s="797"/>
      <c r="O169" s="797"/>
      <c r="P169" s="797"/>
      <c r="Q169" s="797"/>
      <c r="R169" s="797"/>
      <c r="S169" s="797"/>
      <c r="T169" s="797"/>
      <c r="U169" s="797"/>
      <c r="V169" s="797"/>
      <c r="W169" s="797"/>
      <c r="X169" s="797"/>
      <c r="Y169" s="797"/>
      <c r="Z169" s="797"/>
      <c r="AA169" s="797"/>
      <c r="AB169" s="798"/>
      <c r="AC169" s="740"/>
      <c r="AD169" s="741"/>
      <c r="AE169" s="741"/>
      <c r="AF169" s="757"/>
      <c r="AG169" s="740"/>
      <c r="AH169" s="741"/>
      <c r="AI169" s="741"/>
      <c r="AJ169" s="757"/>
      <c r="AK169" s="740"/>
      <c r="AL169" s="741"/>
      <c r="AM169" s="741"/>
      <c r="AN169" s="757"/>
      <c r="AO169" s="466"/>
      <c r="AP169" s="467"/>
      <c r="AQ169" s="467"/>
      <c r="AR169" s="823"/>
    </row>
    <row r="170" spans="3:44" ht="18" customHeight="1">
      <c r="C170" s="758"/>
      <c r="D170" s="759"/>
      <c r="E170" s="760"/>
      <c r="F170" s="796"/>
      <c r="G170" s="797"/>
      <c r="H170" s="797"/>
      <c r="I170" s="797"/>
      <c r="J170" s="797"/>
      <c r="K170" s="797"/>
      <c r="L170" s="797"/>
      <c r="M170" s="797"/>
      <c r="N170" s="797"/>
      <c r="O170" s="797"/>
      <c r="P170" s="797"/>
      <c r="Q170" s="797"/>
      <c r="R170" s="797"/>
      <c r="S170" s="797"/>
      <c r="T170" s="797"/>
      <c r="U170" s="797"/>
      <c r="V170" s="797"/>
      <c r="W170" s="797"/>
      <c r="X170" s="797"/>
      <c r="Y170" s="797"/>
      <c r="Z170" s="797"/>
      <c r="AA170" s="797"/>
      <c r="AB170" s="798"/>
      <c r="AC170" s="740"/>
      <c r="AD170" s="741"/>
      <c r="AE170" s="741"/>
      <c r="AF170" s="757"/>
      <c r="AG170" s="740"/>
      <c r="AH170" s="741"/>
      <c r="AI170" s="741"/>
      <c r="AJ170" s="757"/>
      <c r="AK170" s="740"/>
      <c r="AL170" s="741"/>
      <c r="AM170" s="741"/>
      <c r="AN170" s="757"/>
      <c r="AO170" s="466"/>
      <c r="AP170" s="467"/>
      <c r="AQ170" s="467"/>
      <c r="AR170" s="823"/>
    </row>
    <row r="171" spans="3:44" ht="18" customHeight="1">
      <c r="C171" s="758"/>
      <c r="D171" s="759"/>
      <c r="E171" s="760"/>
      <c r="F171" s="796"/>
      <c r="G171" s="797"/>
      <c r="H171" s="797"/>
      <c r="I171" s="797"/>
      <c r="J171" s="797"/>
      <c r="K171" s="797"/>
      <c r="L171" s="797"/>
      <c r="M171" s="797"/>
      <c r="N171" s="797"/>
      <c r="O171" s="797"/>
      <c r="P171" s="797"/>
      <c r="Q171" s="797"/>
      <c r="R171" s="797"/>
      <c r="S171" s="797"/>
      <c r="T171" s="797"/>
      <c r="U171" s="797"/>
      <c r="V171" s="797"/>
      <c r="W171" s="797"/>
      <c r="X171" s="797"/>
      <c r="Y171" s="797"/>
      <c r="Z171" s="797"/>
      <c r="AA171" s="797"/>
      <c r="AB171" s="798"/>
      <c r="AC171" s="740"/>
      <c r="AD171" s="741"/>
      <c r="AE171" s="741"/>
      <c r="AF171" s="757"/>
      <c r="AG171" s="740"/>
      <c r="AH171" s="741"/>
      <c r="AI171" s="741"/>
      <c r="AJ171" s="757"/>
      <c r="AK171" s="740"/>
      <c r="AL171" s="741"/>
      <c r="AM171" s="741"/>
      <c r="AN171" s="757"/>
      <c r="AO171" s="466"/>
      <c r="AP171" s="467"/>
      <c r="AQ171" s="467"/>
      <c r="AR171" s="823"/>
    </row>
    <row r="172" spans="3:44" ht="18" customHeight="1">
      <c r="C172" s="758"/>
      <c r="D172" s="759"/>
      <c r="E172" s="760"/>
      <c r="F172" s="796"/>
      <c r="G172" s="797"/>
      <c r="H172" s="797"/>
      <c r="I172" s="797"/>
      <c r="J172" s="797"/>
      <c r="K172" s="797"/>
      <c r="L172" s="797"/>
      <c r="M172" s="797"/>
      <c r="N172" s="797"/>
      <c r="O172" s="797"/>
      <c r="P172" s="797"/>
      <c r="Q172" s="797"/>
      <c r="R172" s="797"/>
      <c r="S172" s="797"/>
      <c r="T172" s="797"/>
      <c r="U172" s="797"/>
      <c r="V172" s="797"/>
      <c r="W172" s="797"/>
      <c r="X172" s="797"/>
      <c r="Y172" s="797"/>
      <c r="Z172" s="797"/>
      <c r="AA172" s="797"/>
      <c r="AB172" s="798"/>
      <c r="AC172" s="740"/>
      <c r="AD172" s="741"/>
      <c r="AE172" s="741"/>
      <c r="AF172" s="757"/>
      <c r="AG172" s="740"/>
      <c r="AH172" s="741"/>
      <c r="AI172" s="741"/>
      <c r="AJ172" s="757"/>
      <c r="AK172" s="740"/>
      <c r="AL172" s="741"/>
      <c r="AM172" s="741"/>
      <c r="AN172" s="757"/>
      <c r="AO172" s="466"/>
      <c r="AP172" s="467"/>
      <c r="AQ172" s="467"/>
      <c r="AR172" s="823"/>
    </row>
    <row r="173" spans="3:44" ht="18" customHeight="1">
      <c r="C173" s="758"/>
      <c r="D173" s="759"/>
      <c r="E173" s="760"/>
      <c r="F173" s="796"/>
      <c r="G173" s="797"/>
      <c r="H173" s="797"/>
      <c r="I173" s="797"/>
      <c r="J173" s="797"/>
      <c r="K173" s="797"/>
      <c r="L173" s="797"/>
      <c r="M173" s="797"/>
      <c r="N173" s="797"/>
      <c r="O173" s="797"/>
      <c r="P173" s="797"/>
      <c r="Q173" s="797"/>
      <c r="R173" s="797"/>
      <c r="S173" s="797"/>
      <c r="T173" s="797"/>
      <c r="U173" s="797"/>
      <c r="V173" s="797"/>
      <c r="W173" s="797"/>
      <c r="X173" s="797"/>
      <c r="Y173" s="797"/>
      <c r="Z173" s="797"/>
      <c r="AA173" s="797"/>
      <c r="AB173" s="798"/>
      <c r="AC173" s="740"/>
      <c r="AD173" s="741"/>
      <c r="AE173" s="741"/>
      <c r="AF173" s="757"/>
      <c r="AG173" s="740"/>
      <c r="AH173" s="741"/>
      <c r="AI173" s="741"/>
      <c r="AJ173" s="757"/>
      <c r="AK173" s="740"/>
      <c r="AL173" s="741"/>
      <c r="AM173" s="741"/>
      <c r="AN173" s="757"/>
      <c r="AO173" s="466"/>
      <c r="AP173" s="467"/>
      <c r="AQ173" s="467"/>
      <c r="AR173" s="823"/>
    </row>
    <row r="174" spans="3:44" ht="18" customHeight="1">
      <c r="C174" s="758"/>
      <c r="D174" s="759"/>
      <c r="E174" s="760"/>
      <c r="F174" s="796"/>
      <c r="G174" s="797"/>
      <c r="H174" s="797"/>
      <c r="I174" s="797"/>
      <c r="J174" s="797"/>
      <c r="K174" s="797"/>
      <c r="L174" s="797"/>
      <c r="M174" s="797"/>
      <c r="N174" s="797"/>
      <c r="O174" s="797"/>
      <c r="P174" s="797"/>
      <c r="Q174" s="797"/>
      <c r="R174" s="797"/>
      <c r="S174" s="797"/>
      <c r="T174" s="797"/>
      <c r="U174" s="797"/>
      <c r="V174" s="797"/>
      <c r="W174" s="797"/>
      <c r="X174" s="797"/>
      <c r="Y174" s="797"/>
      <c r="Z174" s="797"/>
      <c r="AA174" s="797"/>
      <c r="AB174" s="798"/>
      <c r="AC174" s="740"/>
      <c r="AD174" s="741"/>
      <c r="AE174" s="741"/>
      <c r="AF174" s="757"/>
      <c r="AG174" s="740"/>
      <c r="AH174" s="741"/>
      <c r="AI174" s="741"/>
      <c r="AJ174" s="757"/>
      <c r="AK174" s="740"/>
      <c r="AL174" s="741"/>
      <c r="AM174" s="741"/>
      <c r="AN174" s="757"/>
      <c r="AO174" s="466"/>
      <c r="AP174" s="467"/>
      <c r="AQ174" s="467"/>
      <c r="AR174" s="823"/>
    </row>
    <row r="175" spans="3:44" ht="18" customHeight="1">
      <c r="C175" s="814"/>
      <c r="D175" s="815"/>
      <c r="E175" s="815"/>
      <c r="F175" s="815"/>
      <c r="G175" s="815"/>
      <c r="H175" s="815"/>
      <c r="I175" s="815"/>
      <c r="J175" s="815"/>
      <c r="K175" s="815"/>
      <c r="L175" s="815"/>
      <c r="M175" s="815"/>
      <c r="N175" s="815"/>
      <c r="O175" s="815"/>
      <c r="P175" s="815"/>
      <c r="Q175" s="815"/>
      <c r="R175" s="815"/>
      <c r="S175" s="815"/>
      <c r="T175" s="815"/>
      <c r="U175" s="815"/>
      <c r="V175" s="815"/>
      <c r="W175" s="815"/>
      <c r="X175" s="815"/>
      <c r="Y175" s="816" t="s">
        <v>78</v>
      </c>
      <c r="Z175" s="816"/>
      <c r="AA175" s="816"/>
      <c r="AB175" s="816"/>
      <c r="AC175" s="816"/>
      <c r="AD175" s="816"/>
      <c r="AE175" s="816"/>
      <c r="AF175" s="483"/>
      <c r="AG175" s="817" t="s">
        <v>267</v>
      </c>
      <c r="AH175" s="818"/>
      <c r="AI175" s="818"/>
      <c r="AJ175" s="819"/>
      <c r="AK175" s="466">
        <f>SUM(AO167:AR174)</f>
        <v>11.49</v>
      </c>
      <c r="AL175" s="467"/>
      <c r="AM175" s="467"/>
      <c r="AN175" s="468"/>
      <c r="AO175" s="820">
        <f>ROUND(AG175*AK175,2)</f>
        <v>2.36</v>
      </c>
      <c r="AP175" s="821"/>
      <c r="AQ175" s="821"/>
      <c r="AR175" s="822"/>
    </row>
    <row r="176" spans="3:44" ht="18" customHeight="1">
      <c r="C176" s="743"/>
      <c r="D176" s="744"/>
      <c r="E176" s="744"/>
      <c r="F176" s="744"/>
      <c r="G176" s="744"/>
      <c r="H176" s="744"/>
      <c r="I176" s="744"/>
      <c r="J176" s="744"/>
      <c r="K176" s="744"/>
      <c r="L176" s="744"/>
      <c r="M176" s="744"/>
      <c r="N176" s="744"/>
      <c r="O176" s="744"/>
      <c r="P176" s="744"/>
      <c r="Q176" s="744"/>
      <c r="R176" s="744"/>
      <c r="S176" s="744"/>
      <c r="T176" s="744"/>
      <c r="U176" s="744"/>
      <c r="V176" s="744"/>
      <c r="W176" s="744"/>
      <c r="X176" s="744"/>
      <c r="Y176" s="745" t="s">
        <v>79</v>
      </c>
      <c r="Z176" s="745"/>
      <c r="AA176" s="745"/>
      <c r="AB176" s="745"/>
      <c r="AC176" s="745"/>
      <c r="AD176" s="745"/>
      <c r="AE176" s="745"/>
      <c r="AF176" s="745"/>
      <c r="AG176" s="745"/>
      <c r="AH176" s="745"/>
      <c r="AI176" s="745"/>
      <c r="AJ176" s="745"/>
      <c r="AK176" s="745"/>
      <c r="AL176" s="745"/>
      <c r="AM176" s="745"/>
      <c r="AN176" s="430"/>
      <c r="AO176" s="477">
        <f>SUM(AO167:AR175)</f>
        <v>13.85</v>
      </c>
      <c r="AP176" s="746"/>
      <c r="AQ176" s="746"/>
      <c r="AR176" s="747"/>
    </row>
    <row r="178" spans="3:44" ht="18" customHeight="1">
      <c r="C178" s="802"/>
      <c r="D178" s="803"/>
      <c r="E178" s="803"/>
      <c r="F178" s="803"/>
      <c r="G178" s="803"/>
      <c r="H178" s="803"/>
      <c r="I178" s="803"/>
      <c r="J178" s="803"/>
      <c r="K178" s="803"/>
      <c r="L178" s="803"/>
      <c r="M178" s="803"/>
      <c r="N178" s="803"/>
      <c r="O178" s="803"/>
      <c r="P178" s="803"/>
      <c r="Q178" s="803"/>
      <c r="R178" s="803"/>
      <c r="S178" s="803"/>
      <c r="T178" s="803"/>
      <c r="U178" s="803"/>
      <c r="V178" s="803"/>
      <c r="W178" s="803"/>
      <c r="X178" s="803"/>
      <c r="Y178" s="804" t="s">
        <v>80</v>
      </c>
      <c r="Z178" s="805"/>
      <c r="AA178" s="805"/>
      <c r="AB178" s="805"/>
      <c r="AC178" s="805"/>
      <c r="AD178" s="805"/>
      <c r="AE178" s="805"/>
      <c r="AF178" s="805"/>
      <c r="AG178" s="805"/>
      <c r="AH178" s="805"/>
      <c r="AI178" s="805"/>
      <c r="AJ178" s="805"/>
      <c r="AK178" s="805"/>
      <c r="AL178" s="805"/>
      <c r="AM178" s="805"/>
      <c r="AN178" s="806"/>
      <c r="AO178" s="807">
        <f>AO163+AO176</f>
        <v>13.85</v>
      </c>
      <c r="AP178" s="808"/>
      <c r="AQ178" s="808"/>
      <c r="AR178" s="809"/>
    </row>
    <row r="179" spans="3:44" ht="18" customHeight="1">
      <c r="C179" s="810" t="s">
        <v>81</v>
      </c>
      <c r="D179" s="745"/>
      <c r="E179" s="745"/>
      <c r="F179" s="745"/>
      <c r="G179" s="745"/>
      <c r="H179" s="745"/>
      <c r="I179" s="745"/>
      <c r="J179" s="745"/>
      <c r="K179" s="745"/>
      <c r="L179" s="745"/>
      <c r="M179" s="745"/>
      <c r="N179" s="745"/>
      <c r="O179" s="745"/>
      <c r="P179" s="430"/>
      <c r="Q179" s="477">
        <v>1</v>
      </c>
      <c r="R179" s="746"/>
      <c r="S179" s="746"/>
      <c r="T179" s="746"/>
      <c r="U179" s="746"/>
      <c r="V179" s="745" t="s">
        <v>194</v>
      </c>
      <c r="W179" s="745"/>
      <c r="X179" s="430"/>
      <c r="Y179" s="804" t="s">
        <v>82</v>
      </c>
      <c r="Z179" s="805"/>
      <c r="AA179" s="805"/>
      <c r="AB179" s="805"/>
      <c r="AC179" s="805"/>
      <c r="AD179" s="805"/>
      <c r="AE179" s="805"/>
      <c r="AF179" s="805"/>
      <c r="AG179" s="805"/>
      <c r="AH179" s="805"/>
      <c r="AI179" s="805"/>
      <c r="AJ179" s="805"/>
      <c r="AK179" s="805"/>
      <c r="AL179" s="805"/>
      <c r="AM179" s="805"/>
      <c r="AN179" s="806"/>
      <c r="AO179" s="811">
        <f>ROUND(AO178/Q179,2)</f>
        <v>13.85</v>
      </c>
      <c r="AP179" s="812"/>
      <c r="AQ179" s="812"/>
      <c r="AR179" s="813"/>
    </row>
    <row r="181" spans="3:44" ht="18" customHeight="1">
      <c r="C181" s="794" t="s">
        <v>43</v>
      </c>
      <c r="D181" s="774"/>
      <c r="E181" s="775"/>
      <c r="F181" s="773" t="s">
        <v>83</v>
      </c>
      <c r="G181" s="774"/>
      <c r="H181" s="774"/>
      <c r="I181" s="774"/>
      <c r="J181" s="774"/>
      <c r="K181" s="774"/>
      <c r="L181" s="774"/>
      <c r="M181" s="774"/>
      <c r="N181" s="774"/>
      <c r="O181" s="774"/>
      <c r="P181" s="774"/>
      <c r="Q181" s="774"/>
      <c r="R181" s="774"/>
      <c r="S181" s="774"/>
      <c r="T181" s="774"/>
      <c r="U181" s="774"/>
      <c r="V181" s="774"/>
      <c r="W181" s="774"/>
      <c r="X181" s="774"/>
      <c r="Y181" s="774"/>
      <c r="Z181" s="774"/>
      <c r="AA181" s="774"/>
      <c r="AB181" s="775"/>
      <c r="AC181" s="773" t="s">
        <v>84</v>
      </c>
      <c r="AD181" s="774"/>
      <c r="AE181" s="774"/>
      <c r="AF181" s="775"/>
      <c r="AG181" s="773" t="s">
        <v>85</v>
      </c>
      <c r="AH181" s="774"/>
      <c r="AI181" s="774"/>
      <c r="AJ181" s="775"/>
      <c r="AK181" s="773" t="s">
        <v>86</v>
      </c>
      <c r="AL181" s="774"/>
      <c r="AM181" s="774"/>
      <c r="AN181" s="775"/>
      <c r="AO181" s="773" t="s">
        <v>87</v>
      </c>
      <c r="AP181" s="774"/>
      <c r="AQ181" s="774"/>
      <c r="AR181" s="779"/>
    </row>
    <row r="182" spans="3:44" ht="18" customHeight="1">
      <c r="C182" s="795"/>
      <c r="D182" s="777"/>
      <c r="E182" s="778"/>
      <c r="F182" s="776"/>
      <c r="G182" s="777"/>
      <c r="H182" s="777"/>
      <c r="I182" s="777"/>
      <c r="J182" s="777"/>
      <c r="K182" s="777"/>
      <c r="L182" s="777"/>
      <c r="M182" s="777"/>
      <c r="N182" s="777"/>
      <c r="O182" s="777"/>
      <c r="P182" s="777"/>
      <c r="Q182" s="777"/>
      <c r="R182" s="777"/>
      <c r="S182" s="777"/>
      <c r="T182" s="777"/>
      <c r="U182" s="777"/>
      <c r="V182" s="777"/>
      <c r="W182" s="777"/>
      <c r="X182" s="777"/>
      <c r="Y182" s="777"/>
      <c r="Z182" s="777"/>
      <c r="AA182" s="777"/>
      <c r="AB182" s="778"/>
      <c r="AC182" s="776"/>
      <c r="AD182" s="777"/>
      <c r="AE182" s="777"/>
      <c r="AF182" s="778"/>
      <c r="AG182" s="776"/>
      <c r="AH182" s="777"/>
      <c r="AI182" s="777"/>
      <c r="AJ182" s="778"/>
      <c r="AK182" s="776"/>
      <c r="AL182" s="777"/>
      <c r="AM182" s="777"/>
      <c r="AN182" s="778"/>
      <c r="AO182" s="776"/>
      <c r="AP182" s="777"/>
      <c r="AQ182" s="777"/>
      <c r="AR182" s="780"/>
    </row>
    <row r="183" spans="3:44" ht="18" customHeight="1">
      <c r="C183" s="781" t="s">
        <v>710</v>
      </c>
      <c r="D183" s="782"/>
      <c r="E183" s="783"/>
      <c r="F183" s="493" t="s">
        <v>369</v>
      </c>
      <c r="G183" s="493"/>
      <c r="H183" s="493"/>
      <c r="I183" s="493"/>
      <c r="J183" s="493"/>
      <c r="K183" s="493"/>
      <c r="L183" s="493"/>
      <c r="M183" s="493"/>
      <c r="N183" s="493"/>
      <c r="O183" s="493"/>
      <c r="P183" s="493"/>
      <c r="Q183" s="493"/>
      <c r="R183" s="493"/>
      <c r="S183" s="493"/>
      <c r="T183" s="493"/>
      <c r="U183" s="493"/>
      <c r="V183" s="493"/>
      <c r="W183" s="493"/>
      <c r="X183" s="493"/>
      <c r="Y183" s="493"/>
      <c r="Z183" s="493"/>
      <c r="AA183" s="493"/>
      <c r="AB183" s="493"/>
      <c r="AC183" s="471" t="s">
        <v>245</v>
      </c>
      <c r="AD183" s="803"/>
      <c r="AE183" s="803"/>
      <c r="AF183" s="871"/>
      <c r="AG183" s="491">
        <f>TRUNC(34.23/1.2031,2)</f>
        <v>28.45</v>
      </c>
      <c r="AH183" s="491"/>
      <c r="AI183" s="491"/>
      <c r="AJ183" s="491"/>
      <c r="AK183" s="791">
        <v>7.0000000000000007E-2</v>
      </c>
      <c r="AL183" s="792"/>
      <c r="AM183" s="792"/>
      <c r="AN183" s="793"/>
      <c r="AO183" s="740">
        <f>ROUND(AG183*AK183,2)</f>
        <v>1.99</v>
      </c>
      <c r="AP183" s="741"/>
      <c r="AQ183" s="741"/>
      <c r="AR183" s="742"/>
    </row>
    <row r="184" spans="3:44" ht="18" customHeight="1">
      <c r="C184" s="758" t="s">
        <v>781</v>
      </c>
      <c r="D184" s="759"/>
      <c r="E184" s="760"/>
      <c r="F184" s="796" t="s">
        <v>782</v>
      </c>
      <c r="G184" s="797"/>
      <c r="H184" s="797"/>
      <c r="I184" s="797"/>
      <c r="J184" s="797"/>
      <c r="K184" s="797"/>
      <c r="L184" s="797"/>
      <c r="M184" s="797"/>
      <c r="N184" s="797"/>
      <c r="O184" s="797"/>
      <c r="P184" s="797"/>
      <c r="Q184" s="797"/>
      <c r="R184" s="797"/>
      <c r="S184" s="797"/>
      <c r="T184" s="797"/>
      <c r="U184" s="797"/>
      <c r="V184" s="797"/>
      <c r="W184" s="797"/>
      <c r="X184" s="797"/>
      <c r="Y184" s="797"/>
      <c r="Z184" s="797"/>
      <c r="AA184" s="797"/>
      <c r="AB184" s="798"/>
      <c r="AC184" s="799" t="s">
        <v>309</v>
      </c>
      <c r="AD184" s="800"/>
      <c r="AE184" s="800"/>
      <c r="AF184" s="801"/>
      <c r="AG184" s="466">
        <f>TRUNC(60.08/1.2031,2)</f>
        <v>49.93</v>
      </c>
      <c r="AH184" s="467"/>
      <c r="AI184" s="467"/>
      <c r="AJ184" s="468"/>
      <c r="AK184" s="737">
        <v>0.4</v>
      </c>
      <c r="AL184" s="738"/>
      <c r="AM184" s="738"/>
      <c r="AN184" s="739"/>
      <c r="AO184" s="740">
        <f>ROUND(AG184*AK184,2)</f>
        <v>19.97</v>
      </c>
      <c r="AP184" s="741"/>
      <c r="AQ184" s="741"/>
      <c r="AR184" s="742"/>
    </row>
    <row r="185" spans="3:44" ht="18" customHeight="1">
      <c r="C185" s="758" t="s">
        <v>238</v>
      </c>
      <c r="D185" s="759"/>
      <c r="E185" s="760"/>
      <c r="F185" s="796" t="s">
        <v>787</v>
      </c>
      <c r="G185" s="797"/>
      <c r="H185" s="797"/>
      <c r="I185" s="797"/>
      <c r="J185" s="797"/>
      <c r="K185" s="797"/>
      <c r="L185" s="797"/>
      <c r="M185" s="797"/>
      <c r="N185" s="797"/>
      <c r="O185" s="797"/>
      <c r="P185" s="797"/>
      <c r="Q185" s="797"/>
      <c r="R185" s="797"/>
      <c r="S185" s="797"/>
      <c r="T185" s="797"/>
      <c r="U185" s="797"/>
      <c r="V185" s="797"/>
      <c r="W185" s="797"/>
      <c r="X185" s="797"/>
      <c r="Y185" s="797"/>
      <c r="Z185" s="797"/>
      <c r="AA185" s="797"/>
      <c r="AB185" s="798"/>
      <c r="AC185" s="799" t="s">
        <v>194</v>
      </c>
      <c r="AD185" s="800"/>
      <c r="AE185" s="800"/>
      <c r="AF185" s="801"/>
      <c r="AG185" s="466">
        <v>32.14</v>
      </c>
      <c r="AH185" s="467"/>
      <c r="AI185" s="467"/>
      <c r="AJ185" s="468"/>
      <c r="AK185" s="737">
        <v>1</v>
      </c>
      <c r="AL185" s="738"/>
      <c r="AM185" s="738"/>
      <c r="AN185" s="739"/>
      <c r="AO185" s="740">
        <f>ROUND(AG185*AK185,2)</f>
        <v>32.14</v>
      </c>
      <c r="AP185" s="741"/>
      <c r="AQ185" s="741"/>
      <c r="AR185" s="742"/>
    </row>
    <row r="186" spans="3:44" ht="18" customHeight="1">
      <c r="C186" s="758"/>
      <c r="D186" s="759"/>
      <c r="E186" s="760"/>
      <c r="F186" s="796"/>
      <c r="G186" s="797"/>
      <c r="H186" s="797"/>
      <c r="I186" s="797"/>
      <c r="J186" s="797"/>
      <c r="K186" s="797"/>
      <c r="L186" s="797"/>
      <c r="M186" s="797"/>
      <c r="N186" s="797"/>
      <c r="O186" s="797"/>
      <c r="P186" s="797"/>
      <c r="Q186" s="797"/>
      <c r="R186" s="797"/>
      <c r="S186" s="797"/>
      <c r="T186" s="797"/>
      <c r="U186" s="797"/>
      <c r="V186" s="797"/>
      <c r="W186" s="797"/>
      <c r="X186" s="797"/>
      <c r="Y186" s="797"/>
      <c r="Z186" s="797"/>
      <c r="AA186" s="797"/>
      <c r="AB186" s="798"/>
      <c r="AC186" s="799"/>
      <c r="AD186" s="800"/>
      <c r="AE186" s="800"/>
      <c r="AF186" s="801"/>
      <c r="AG186" s="466"/>
      <c r="AH186" s="467"/>
      <c r="AI186" s="467"/>
      <c r="AJ186" s="468"/>
      <c r="AK186" s="737"/>
      <c r="AL186" s="738"/>
      <c r="AM186" s="738"/>
      <c r="AN186" s="739"/>
      <c r="AO186" s="740"/>
      <c r="AP186" s="741"/>
      <c r="AQ186" s="741"/>
      <c r="AR186" s="742"/>
    </row>
    <row r="187" spans="3:44" ht="18" customHeight="1">
      <c r="C187" s="758"/>
      <c r="D187" s="759"/>
      <c r="E187" s="760"/>
      <c r="F187" s="796"/>
      <c r="G187" s="797"/>
      <c r="H187" s="797"/>
      <c r="I187" s="797"/>
      <c r="J187" s="797"/>
      <c r="K187" s="797"/>
      <c r="L187" s="797"/>
      <c r="M187" s="797"/>
      <c r="N187" s="797"/>
      <c r="O187" s="797"/>
      <c r="P187" s="797"/>
      <c r="Q187" s="797"/>
      <c r="R187" s="797"/>
      <c r="S187" s="797"/>
      <c r="T187" s="797"/>
      <c r="U187" s="797"/>
      <c r="V187" s="797"/>
      <c r="W187" s="797"/>
      <c r="X187" s="797"/>
      <c r="Y187" s="797"/>
      <c r="Z187" s="797"/>
      <c r="AA187" s="797"/>
      <c r="AB187" s="798"/>
      <c r="AC187" s="799"/>
      <c r="AD187" s="800"/>
      <c r="AE187" s="800"/>
      <c r="AF187" s="801"/>
      <c r="AG187" s="466"/>
      <c r="AH187" s="467"/>
      <c r="AI187" s="467"/>
      <c r="AJ187" s="468"/>
      <c r="AK187" s="737"/>
      <c r="AL187" s="738"/>
      <c r="AM187" s="738"/>
      <c r="AN187" s="739"/>
      <c r="AO187" s="740"/>
      <c r="AP187" s="741"/>
      <c r="AQ187" s="741"/>
      <c r="AR187" s="742"/>
    </row>
    <row r="188" spans="3:44" ht="18" customHeight="1">
      <c r="C188" s="758"/>
      <c r="D188" s="759"/>
      <c r="E188" s="760"/>
      <c r="F188" s="796"/>
      <c r="G188" s="797"/>
      <c r="H188" s="797"/>
      <c r="I188" s="797"/>
      <c r="J188" s="797"/>
      <c r="K188" s="797"/>
      <c r="L188" s="797"/>
      <c r="M188" s="797"/>
      <c r="N188" s="797"/>
      <c r="O188" s="797"/>
      <c r="P188" s="797"/>
      <c r="Q188" s="797"/>
      <c r="R188" s="797"/>
      <c r="S188" s="797"/>
      <c r="T188" s="797"/>
      <c r="U188" s="797"/>
      <c r="V188" s="797"/>
      <c r="W188" s="797"/>
      <c r="X188" s="797"/>
      <c r="Y188" s="797"/>
      <c r="Z188" s="797"/>
      <c r="AA188" s="797"/>
      <c r="AB188" s="798"/>
      <c r="AC188" s="799"/>
      <c r="AD188" s="800"/>
      <c r="AE188" s="800"/>
      <c r="AF188" s="801"/>
      <c r="AG188" s="466"/>
      <c r="AH188" s="467"/>
      <c r="AI188" s="467"/>
      <c r="AJ188" s="468"/>
      <c r="AK188" s="737"/>
      <c r="AL188" s="738"/>
      <c r="AM188" s="738"/>
      <c r="AN188" s="739"/>
      <c r="AO188" s="740"/>
      <c r="AP188" s="741"/>
      <c r="AQ188" s="741"/>
      <c r="AR188" s="742"/>
    </row>
    <row r="189" spans="3:44" ht="18" customHeight="1">
      <c r="C189" s="758"/>
      <c r="D189" s="759"/>
      <c r="E189" s="760"/>
      <c r="F189" s="796"/>
      <c r="G189" s="797"/>
      <c r="H189" s="797"/>
      <c r="I189" s="797"/>
      <c r="J189" s="797"/>
      <c r="K189" s="797"/>
      <c r="L189" s="797"/>
      <c r="M189" s="797"/>
      <c r="N189" s="797"/>
      <c r="O189" s="797"/>
      <c r="P189" s="797"/>
      <c r="Q189" s="797"/>
      <c r="R189" s="797"/>
      <c r="S189" s="797"/>
      <c r="T189" s="797"/>
      <c r="U189" s="797"/>
      <c r="V189" s="797"/>
      <c r="W189" s="797"/>
      <c r="X189" s="797"/>
      <c r="Y189" s="797"/>
      <c r="Z189" s="797"/>
      <c r="AA189" s="797"/>
      <c r="AB189" s="798"/>
      <c r="AC189" s="799"/>
      <c r="AD189" s="800"/>
      <c r="AE189" s="800"/>
      <c r="AF189" s="801"/>
      <c r="AG189" s="466"/>
      <c r="AH189" s="467"/>
      <c r="AI189" s="467"/>
      <c r="AJ189" s="468"/>
      <c r="AK189" s="737"/>
      <c r="AL189" s="738"/>
      <c r="AM189" s="738"/>
      <c r="AN189" s="739"/>
      <c r="AO189" s="740"/>
      <c r="AP189" s="741"/>
      <c r="AQ189" s="741"/>
      <c r="AR189" s="742"/>
    </row>
    <row r="190" spans="3:44" ht="18" customHeight="1">
      <c r="C190" s="758"/>
      <c r="D190" s="759"/>
      <c r="E190" s="760"/>
      <c r="F190" s="796"/>
      <c r="G190" s="797"/>
      <c r="H190" s="797"/>
      <c r="I190" s="797"/>
      <c r="J190" s="797"/>
      <c r="K190" s="797"/>
      <c r="L190" s="797"/>
      <c r="M190" s="797"/>
      <c r="N190" s="797"/>
      <c r="O190" s="797"/>
      <c r="P190" s="797"/>
      <c r="Q190" s="797"/>
      <c r="R190" s="797"/>
      <c r="S190" s="797"/>
      <c r="T190" s="797"/>
      <c r="U190" s="797"/>
      <c r="V190" s="797"/>
      <c r="W190" s="797"/>
      <c r="X190" s="797"/>
      <c r="Y190" s="797"/>
      <c r="Z190" s="797"/>
      <c r="AA190" s="797"/>
      <c r="AB190" s="798"/>
      <c r="AC190" s="799"/>
      <c r="AD190" s="800"/>
      <c r="AE190" s="800"/>
      <c r="AF190" s="801"/>
      <c r="AG190" s="466"/>
      <c r="AH190" s="467"/>
      <c r="AI190" s="467"/>
      <c r="AJ190" s="468"/>
      <c r="AK190" s="737"/>
      <c r="AL190" s="738"/>
      <c r="AM190" s="738"/>
      <c r="AN190" s="739"/>
      <c r="AO190" s="740"/>
      <c r="AP190" s="741"/>
      <c r="AQ190" s="741"/>
      <c r="AR190" s="742"/>
    </row>
    <row r="191" spans="3:44" ht="18" customHeight="1">
      <c r="C191" s="743"/>
      <c r="D191" s="744"/>
      <c r="E191" s="744"/>
      <c r="F191" s="744"/>
      <c r="G191" s="744"/>
      <c r="H191" s="744"/>
      <c r="I191" s="744"/>
      <c r="J191" s="744"/>
      <c r="K191" s="744"/>
      <c r="L191" s="744"/>
      <c r="M191" s="744"/>
      <c r="N191" s="744"/>
      <c r="O191" s="744"/>
      <c r="P191" s="744"/>
      <c r="Q191" s="744"/>
      <c r="R191" s="744"/>
      <c r="S191" s="744"/>
      <c r="T191" s="744"/>
      <c r="U191" s="744"/>
      <c r="V191" s="744"/>
      <c r="W191" s="744"/>
      <c r="X191" s="744"/>
      <c r="Y191" s="745" t="s">
        <v>88</v>
      </c>
      <c r="Z191" s="745"/>
      <c r="AA191" s="745"/>
      <c r="AB191" s="745"/>
      <c r="AC191" s="745"/>
      <c r="AD191" s="745"/>
      <c r="AE191" s="745"/>
      <c r="AF191" s="745"/>
      <c r="AG191" s="745"/>
      <c r="AH191" s="745"/>
      <c r="AI191" s="745"/>
      <c r="AJ191" s="745"/>
      <c r="AK191" s="745"/>
      <c r="AL191" s="745"/>
      <c r="AM191" s="745"/>
      <c r="AN191" s="430"/>
      <c r="AO191" s="477">
        <f>SUM(AO183:AR190)</f>
        <v>54.099999999999994</v>
      </c>
      <c r="AP191" s="746"/>
      <c r="AQ191" s="746"/>
      <c r="AR191" s="747"/>
    </row>
    <row r="193" spans="1:61" ht="18" customHeight="1">
      <c r="C193" s="794" t="s">
        <v>43</v>
      </c>
      <c r="D193" s="774"/>
      <c r="E193" s="775"/>
      <c r="F193" s="773" t="s">
        <v>89</v>
      </c>
      <c r="G193" s="774"/>
      <c r="H193" s="774"/>
      <c r="I193" s="774"/>
      <c r="J193" s="774"/>
      <c r="K193" s="774"/>
      <c r="L193" s="774"/>
      <c r="M193" s="774"/>
      <c r="N193" s="774"/>
      <c r="O193" s="774"/>
      <c r="P193" s="774"/>
      <c r="Q193" s="774"/>
      <c r="R193" s="775"/>
      <c r="S193" s="773" t="s">
        <v>90</v>
      </c>
      <c r="T193" s="774"/>
      <c r="U193" s="775"/>
      <c r="V193" s="773" t="s">
        <v>91</v>
      </c>
      <c r="W193" s="774"/>
      <c r="X193" s="775"/>
      <c r="Y193" s="773" t="s">
        <v>92</v>
      </c>
      <c r="Z193" s="774"/>
      <c r="AA193" s="774"/>
      <c r="AB193" s="774"/>
      <c r="AC193" s="774"/>
      <c r="AD193" s="775"/>
      <c r="AE193" s="773" t="s">
        <v>93</v>
      </c>
      <c r="AF193" s="774"/>
      <c r="AG193" s="775"/>
      <c r="AH193" s="773" t="s">
        <v>94</v>
      </c>
      <c r="AI193" s="774"/>
      <c r="AJ193" s="775"/>
      <c r="AK193" s="773" t="s">
        <v>86</v>
      </c>
      <c r="AL193" s="774"/>
      <c r="AM193" s="774"/>
      <c r="AN193" s="775"/>
      <c r="AO193" s="773" t="s">
        <v>87</v>
      </c>
      <c r="AP193" s="774"/>
      <c r="AQ193" s="774"/>
      <c r="AR193" s="779"/>
    </row>
    <row r="194" spans="1:61" ht="18" customHeight="1">
      <c r="C194" s="795"/>
      <c r="D194" s="777"/>
      <c r="E194" s="778"/>
      <c r="F194" s="776"/>
      <c r="G194" s="777"/>
      <c r="H194" s="777"/>
      <c r="I194" s="777"/>
      <c r="J194" s="777"/>
      <c r="K194" s="777"/>
      <c r="L194" s="777"/>
      <c r="M194" s="777"/>
      <c r="N194" s="777"/>
      <c r="O194" s="777"/>
      <c r="P194" s="777"/>
      <c r="Q194" s="777"/>
      <c r="R194" s="778"/>
      <c r="S194" s="776"/>
      <c r="T194" s="777"/>
      <c r="U194" s="778"/>
      <c r="V194" s="776"/>
      <c r="W194" s="777"/>
      <c r="X194" s="778"/>
      <c r="Y194" s="776"/>
      <c r="Z194" s="777"/>
      <c r="AA194" s="777"/>
      <c r="AB194" s="777"/>
      <c r="AC194" s="777"/>
      <c r="AD194" s="778"/>
      <c r="AE194" s="776"/>
      <c r="AF194" s="777"/>
      <c r="AG194" s="778"/>
      <c r="AH194" s="776"/>
      <c r="AI194" s="777"/>
      <c r="AJ194" s="778"/>
      <c r="AK194" s="776"/>
      <c r="AL194" s="777"/>
      <c r="AM194" s="777"/>
      <c r="AN194" s="778"/>
      <c r="AO194" s="776"/>
      <c r="AP194" s="777"/>
      <c r="AQ194" s="777"/>
      <c r="AR194" s="780"/>
    </row>
    <row r="195" spans="1:61" ht="18" customHeight="1">
      <c r="C195" s="781"/>
      <c r="D195" s="782"/>
      <c r="E195" s="783"/>
      <c r="F195" s="457"/>
      <c r="G195" s="457"/>
      <c r="H195" s="457"/>
      <c r="I195" s="457"/>
      <c r="J195" s="457"/>
      <c r="K195" s="457"/>
      <c r="L195" s="457"/>
      <c r="M195" s="457"/>
      <c r="N195" s="457"/>
      <c r="O195" s="457"/>
      <c r="P195" s="457"/>
      <c r="Q195" s="457"/>
      <c r="R195" s="457"/>
      <c r="S195" s="784"/>
      <c r="T195" s="785"/>
      <c r="U195" s="786"/>
      <c r="V195" s="784"/>
      <c r="W195" s="785"/>
      <c r="X195" s="786"/>
      <c r="Y195" s="787"/>
      <c r="Z195" s="788"/>
      <c r="AA195" s="788"/>
      <c r="AB195" s="788"/>
      <c r="AC195" s="788"/>
      <c r="AD195" s="789"/>
      <c r="AE195" s="449"/>
      <c r="AF195" s="449"/>
      <c r="AG195" s="449"/>
      <c r="AH195" s="770"/>
      <c r="AI195" s="771"/>
      <c r="AJ195" s="790"/>
      <c r="AK195" s="791"/>
      <c r="AL195" s="792"/>
      <c r="AM195" s="792"/>
      <c r="AN195" s="793"/>
      <c r="AO195" s="770"/>
      <c r="AP195" s="771"/>
      <c r="AQ195" s="771"/>
      <c r="AR195" s="772"/>
    </row>
    <row r="196" spans="1:61" ht="18" customHeight="1">
      <c r="C196" s="758"/>
      <c r="D196" s="759"/>
      <c r="E196" s="760"/>
      <c r="F196" s="761"/>
      <c r="G196" s="762"/>
      <c r="H196" s="762"/>
      <c r="I196" s="762"/>
      <c r="J196" s="762"/>
      <c r="K196" s="762"/>
      <c r="L196" s="762"/>
      <c r="M196" s="762"/>
      <c r="N196" s="762"/>
      <c r="O196" s="762"/>
      <c r="P196" s="762"/>
      <c r="Q196" s="762"/>
      <c r="R196" s="763"/>
      <c r="S196" s="764"/>
      <c r="T196" s="765"/>
      <c r="U196" s="766"/>
      <c r="V196" s="764"/>
      <c r="W196" s="765"/>
      <c r="X196" s="766"/>
      <c r="Y196" s="767"/>
      <c r="Z196" s="768"/>
      <c r="AA196" s="768"/>
      <c r="AB196" s="768"/>
      <c r="AC196" s="768"/>
      <c r="AD196" s="769"/>
      <c r="AE196" s="740"/>
      <c r="AF196" s="741"/>
      <c r="AG196" s="757"/>
      <c r="AH196" s="740"/>
      <c r="AI196" s="741"/>
      <c r="AJ196" s="757"/>
      <c r="AK196" s="737"/>
      <c r="AL196" s="738"/>
      <c r="AM196" s="738"/>
      <c r="AN196" s="739"/>
      <c r="AO196" s="740">
        <f t="shared" ref="AO196:AO202" si="3">ROUND(AE196*AH196*AK196,2)</f>
        <v>0</v>
      </c>
      <c r="AP196" s="741"/>
      <c r="AQ196" s="741"/>
      <c r="AR196" s="742"/>
    </row>
    <row r="197" spans="1:61" ht="18" customHeight="1">
      <c r="C197" s="758"/>
      <c r="D197" s="759"/>
      <c r="E197" s="760"/>
      <c r="F197" s="761"/>
      <c r="G197" s="762"/>
      <c r="H197" s="762"/>
      <c r="I197" s="762"/>
      <c r="J197" s="762"/>
      <c r="K197" s="762"/>
      <c r="L197" s="762"/>
      <c r="M197" s="762"/>
      <c r="N197" s="762"/>
      <c r="O197" s="762"/>
      <c r="P197" s="762"/>
      <c r="Q197" s="762"/>
      <c r="R197" s="763"/>
      <c r="S197" s="764"/>
      <c r="T197" s="765"/>
      <c r="U197" s="766"/>
      <c r="V197" s="764"/>
      <c r="W197" s="765"/>
      <c r="X197" s="766"/>
      <c r="Y197" s="767"/>
      <c r="Z197" s="768"/>
      <c r="AA197" s="768"/>
      <c r="AB197" s="768"/>
      <c r="AC197" s="768"/>
      <c r="AD197" s="769"/>
      <c r="AE197" s="740"/>
      <c r="AF197" s="741"/>
      <c r="AG197" s="757"/>
      <c r="AH197" s="740"/>
      <c r="AI197" s="741"/>
      <c r="AJ197" s="757"/>
      <c r="AK197" s="737"/>
      <c r="AL197" s="738"/>
      <c r="AM197" s="738"/>
      <c r="AN197" s="739"/>
      <c r="AO197" s="740">
        <f t="shared" si="3"/>
        <v>0</v>
      </c>
      <c r="AP197" s="741"/>
      <c r="AQ197" s="741"/>
      <c r="AR197" s="742"/>
    </row>
    <row r="198" spans="1:61" ht="18" customHeight="1">
      <c r="C198" s="758"/>
      <c r="D198" s="759"/>
      <c r="E198" s="760"/>
      <c r="F198" s="761"/>
      <c r="G198" s="762"/>
      <c r="H198" s="762"/>
      <c r="I198" s="762"/>
      <c r="J198" s="762"/>
      <c r="K198" s="762"/>
      <c r="L198" s="762"/>
      <c r="M198" s="762"/>
      <c r="N198" s="762"/>
      <c r="O198" s="762"/>
      <c r="P198" s="762"/>
      <c r="Q198" s="762"/>
      <c r="R198" s="763"/>
      <c r="S198" s="764"/>
      <c r="T198" s="765"/>
      <c r="U198" s="766"/>
      <c r="V198" s="764"/>
      <c r="W198" s="765"/>
      <c r="X198" s="766"/>
      <c r="Y198" s="767"/>
      <c r="Z198" s="768"/>
      <c r="AA198" s="768"/>
      <c r="AB198" s="768"/>
      <c r="AC198" s="768"/>
      <c r="AD198" s="769"/>
      <c r="AE198" s="740"/>
      <c r="AF198" s="741"/>
      <c r="AG198" s="757"/>
      <c r="AH198" s="740"/>
      <c r="AI198" s="741"/>
      <c r="AJ198" s="757"/>
      <c r="AK198" s="737"/>
      <c r="AL198" s="738"/>
      <c r="AM198" s="738"/>
      <c r="AN198" s="739"/>
      <c r="AO198" s="740">
        <f t="shared" si="3"/>
        <v>0</v>
      </c>
      <c r="AP198" s="741"/>
      <c r="AQ198" s="741"/>
      <c r="AR198" s="742"/>
    </row>
    <row r="199" spans="1:61" ht="18" customHeight="1">
      <c r="C199" s="758"/>
      <c r="D199" s="759"/>
      <c r="E199" s="760"/>
      <c r="F199" s="761"/>
      <c r="G199" s="762"/>
      <c r="H199" s="762"/>
      <c r="I199" s="762"/>
      <c r="J199" s="762"/>
      <c r="K199" s="762"/>
      <c r="L199" s="762"/>
      <c r="M199" s="762"/>
      <c r="N199" s="762"/>
      <c r="O199" s="762"/>
      <c r="P199" s="762"/>
      <c r="Q199" s="762"/>
      <c r="R199" s="763"/>
      <c r="S199" s="764"/>
      <c r="T199" s="765"/>
      <c r="U199" s="766"/>
      <c r="V199" s="764"/>
      <c r="W199" s="765"/>
      <c r="X199" s="766"/>
      <c r="Y199" s="767"/>
      <c r="Z199" s="768"/>
      <c r="AA199" s="768"/>
      <c r="AB199" s="768"/>
      <c r="AC199" s="768"/>
      <c r="AD199" s="769"/>
      <c r="AE199" s="740"/>
      <c r="AF199" s="741"/>
      <c r="AG199" s="757"/>
      <c r="AH199" s="740"/>
      <c r="AI199" s="741"/>
      <c r="AJ199" s="757"/>
      <c r="AK199" s="737"/>
      <c r="AL199" s="738"/>
      <c r="AM199" s="738"/>
      <c r="AN199" s="739"/>
      <c r="AO199" s="740">
        <f t="shared" si="3"/>
        <v>0</v>
      </c>
      <c r="AP199" s="741"/>
      <c r="AQ199" s="741"/>
      <c r="AR199" s="742"/>
    </row>
    <row r="200" spans="1:61" ht="18" customHeight="1">
      <c r="C200" s="758"/>
      <c r="D200" s="759"/>
      <c r="E200" s="760"/>
      <c r="F200" s="761"/>
      <c r="G200" s="762"/>
      <c r="H200" s="762"/>
      <c r="I200" s="762"/>
      <c r="J200" s="762"/>
      <c r="K200" s="762"/>
      <c r="L200" s="762"/>
      <c r="M200" s="762"/>
      <c r="N200" s="762"/>
      <c r="O200" s="762"/>
      <c r="P200" s="762"/>
      <c r="Q200" s="762"/>
      <c r="R200" s="763"/>
      <c r="S200" s="764"/>
      <c r="T200" s="765"/>
      <c r="U200" s="766"/>
      <c r="V200" s="764"/>
      <c r="W200" s="765"/>
      <c r="X200" s="766"/>
      <c r="Y200" s="767"/>
      <c r="Z200" s="768"/>
      <c r="AA200" s="768"/>
      <c r="AB200" s="768"/>
      <c r="AC200" s="768"/>
      <c r="AD200" s="769"/>
      <c r="AE200" s="740"/>
      <c r="AF200" s="741"/>
      <c r="AG200" s="757"/>
      <c r="AH200" s="740"/>
      <c r="AI200" s="741"/>
      <c r="AJ200" s="757"/>
      <c r="AK200" s="737"/>
      <c r="AL200" s="738"/>
      <c r="AM200" s="738"/>
      <c r="AN200" s="739"/>
      <c r="AO200" s="740">
        <f t="shared" si="3"/>
        <v>0</v>
      </c>
      <c r="AP200" s="741"/>
      <c r="AQ200" s="741"/>
      <c r="AR200" s="742"/>
    </row>
    <row r="201" spans="1:61" ht="18" customHeight="1">
      <c r="C201" s="758"/>
      <c r="D201" s="759"/>
      <c r="E201" s="760"/>
      <c r="F201" s="761"/>
      <c r="G201" s="762"/>
      <c r="H201" s="762"/>
      <c r="I201" s="762"/>
      <c r="J201" s="762"/>
      <c r="K201" s="762"/>
      <c r="L201" s="762"/>
      <c r="M201" s="762"/>
      <c r="N201" s="762"/>
      <c r="O201" s="762"/>
      <c r="P201" s="762"/>
      <c r="Q201" s="762"/>
      <c r="R201" s="763"/>
      <c r="S201" s="764"/>
      <c r="T201" s="765"/>
      <c r="U201" s="766"/>
      <c r="V201" s="764"/>
      <c r="W201" s="765"/>
      <c r="X201" s="766"/>
      <c r="Y201" s="767"/>
      <c r="Z201" s="768"/>
      <c r="AA201" s="768"/>
      <c r="AB201" s="768"/>
      <c r="AC201" s="768"/>
      <c r="AD201" s="769"/>
      <c r="AE201" s="740"/>
      <c r="AF201" s="741"/>
      <c r="AG201" s="757"/>
      <c r="AH201" s="740"/>
      <c r="AI201" s="741"/>
      <c r="AJ201" s="757"/>
      <c r="AK201" s="737"/>
      <c r="AL201" s="738"/>
      <c r="AM201" s="738"/>
      <c r="AN201" s="739"/>
      <c r="AO201" s="740">
        <f t="shared" si="3"/>
        <v>0</v>
      </c>
      <c r="AP201" s="741"/>
      <c r="AQ201" s="741"/>
      <c r="AR201" s="742"/>
    </row>
    <row r="202" spans="1:61" ht="18" customHeight="1">
      <c r="C202" s="758"/>
      <c r="D202" s="759"/>
      <c r="E202" s="760"/>
      <c r="F202" s="761"/>
      <c r="G202" s="762"/>
      <c r="H202" s="762"/>
      <c r="I202" s="762"/>
      <c r="J202" s="762"/>
      <c r="K202" s="762"/>
      <c r="L202" s="762"/>
      <c r="M202" s="762"/>
      <c r="N202" s="762"/>
      <c r="O202" s="762"/>
      <c r="P202" s="762"/>
      <c r="Q202" s="762"/>
      <c r="R202" s="763"/>
      <c r="S202" s="764"/>
      <c r="T202" s="765"/>
      <c r="U202" s="766"/>
      <c r="V202" s="764"/>
      <c r="W202" s="765"/>
      <c r="X202" s="766"/>
      <c r="Y202" s="767"/>
      <c r="Z202" s="768"/>
      <c r="AA202" s="768"/>
      <c r="AB202" s="768"/>
      <c r="AC202" s="768"/>
      <c r="AD202" s="769"/>
      <c r="AE202" s="740"/>
      <c r="AF202" s="741"/>
      <c r="AG202" s="757"/>
      <c r="AH202" s="740"/>
      <c r="AI202" s="741"/>
      <c r="AJ202" s="757"/>
      <c r="AK202" s="737"/>
      <c r="AL202" s="738"/>
      <c r="AM202" s="738"/>
      <c r="AN202" s="739"/>
      <c r="AO202" s="740">
        <f t="shared" si="3"/>
        <v>0</v>
      </c>
      <c r="AP202" s="741"/>
      <c r="AQ202" s="741"/>
      <c r="AR202" s="742"/>
    </row>
    <row r="203" spans="1:61" ht="18" customHeight="1">
      <c r="C203" s="743"/>
      <c r="D203" s="744"/>
      <c r="E203" s="744"/>
      <c r="F203" s="744"/>
      <c r="G203" s="744"/>
      <c r="H203" s="744"/>
      <c r="I203" s="744"/>
      <c r="J203" s="744"/>
      <c r="K203" s="744"/>
      <c r="L203" s="744"/>
      <c r="M203" s="744"/>
      <c r="N203" s="744"/>
      <c r="O203" s="744"/>
      <c r="P203" s="744"/>
      <c r="Q203" s="744"/>
      <c r="R203" s="744"/>
      <c r="S203" s="744"/>
      <c r="T203" s="744"/>
      <c r="U203" s="744"/>
      <c r="V203" s="744"/>
      <c r="W203" s="744"/>
      <c r="X203" s="744"/>
      <c r="Y203" s="745" t="s">
        <v>95</v>
      </c>
      <c r="Z203" s="745"/>
      <c r="AA203" s="745"/>
      <c r="AB203" s="745"/>
      <c r="AC203" s="745"/>
      <c r="AD203" s="745"/>
      <c r="AE203" s="745"/>
      <c r="AF203" s="745"/>
      <c r="AG203" s="745"/>
      <c r="AH203" s="745"/>
      <c r="AI203" s="745"/>
      <c r="AJ203" s="745"/>
      <c r="AK203" s="745"/>
      <c r="AL203" s="745"/>
      <c r="AM203" s="745"/>
      <c r="AN203" s="430"/>
      <c r="AO203" s="477">
        <f>SUM(AO195:AR202)</f>
        <v>0</v>
      </c>
      <c r="AP203" s="746"/>
      <c r="AQ203" s="746"/>
      <c r="AR203" s="747"/>
      <c r="BI203" s="201" t="s">
        <v>122</v>
      </c>
    </row>
    <row r="205" spans="1:61" ht="18" customHeight="1">
      <c r="C205" s="434"/>
      <c r="D205" s="434"/>
      <c r="E205" s="434"/>
      <c r="F205" s="434"/>
      <c r="G205" s="434"/>
      <c r="H205" s="434"/>
      <c r="I205" s="434"/>
      <c r="J205" s="434"/>
      <c r="K205" s="434"/>
      <c r="L205" s="434"/>
      <c r="M205" s="434"/>
      <c r="N205" s="434"/>
      <c r="O205" s="434"/>
      <c r="P205" s="434"/>
      <c r="Q205" s="434"/>
      <c r="R205" s="434"/>
      <c r="S205" s="434"/>
      <c r="T205" s="434"/>
      <c r="U205" s="434"/>
      <c r="V205" s="434"/>
      <c r="W205" s="434"/>
      <c r="X205" s="748"/>
      <c r="Y205" s="749" t="s">
        <v>96</v>
      </c>
      <c r="Z205" s="750"/>
      <c r="AA205" s="750"/>
      <c r="AB205" s="750"/>
      <c r="AC205" s="750"/>
      <c r="AD205" s="750"/>
      <c r="AE205" s="750"/>
      <c r="AF205" s="750"/>
      <c r="AG205" s="750"/>
      <c r="AH205" s="750"/>
      <c r="AI205" s="750"/>
      <c r="AJ205" s="750"/>
      <c r="AK205" s="750"/>
      <c r="AL205" s="750"/>
      <c r="AM205" s="750"/>
      <c r="AN205" s="751"/>
      <c r="AO205" s="752">
        <f>AO179+AO191+AO203</f>
        <v>67.949999999999989</v>
      </c>
      <c r="AP205" s="753"/>
      <c r="AQ205" s="753"/>
      <c r="AR205" s="754"/>
    </row>
    <row r="206" spans="1:61" ht="18" customHeight="1">
      <c r="C206" s="434"/>
      <c r="D206" s="434"/>
      <c r="E206" s="434"/>
      <c r="F206" s="434"/>
      <c r="G206" s="434"/>
      <c r="H206" s="434"/>
      <c r="I206" s="434"/>
      <c r="J206" s="434"/>
      <c r="K206" s="434"/>
      <c r="L206" s="434"/>
      <c r="M206" s="434"/>
      <c r="N206" s="434"/>
      <c r="O206" s="434"/>
      <c r="P206" s="434"/>
      <c r="Q206" s="434"/>
      <c r="R206" s="434"/>
      <c r="S206" s="434"/>
      <c r="T206" s="434"/>
      <c r="U206" s="434"/>
      <c r="V206" s="434"/>
      <c r="W206" s="434"/>
      <c r="X206" s="748"/>
      <c r="Y206" s="755" t="s">
        <v>97</v>
      </c>
      <c r="Z206" s="756"/>
      <c r="AA206" s="756"/>
      <c r="AB206" s="756"/>
      <c r="AC206" s="756"/>
      <c r="AD206" s="756"/>
      <c r="AE206" s="756"/>
      <c r="AF206" s="756"/>
      <c r="AG206" s="756"/>
      <c r="AH206" s="442">
        <v>0.2031</v>
      </c>
      <c r="AI206" s="442"/>
      <c r="AJ206" s="442"/>
      <c r="AK206" s="442"/>
      <c r="AL206" s="442"/>
      <c r="AM206" s="442"/>
      <c r="AN206" s="443"/>
      <c r="AO206" s="728">
        <f>ROUND(AO205*AH206,2)</f>
        <v>13.8</v>
      </c>
      <c r="AP206" s="729"/>
      <c r="AQ206" s="729"/>
      <c r="AR206" s="730"/>
    </row>
    <row r="207" spans="1:61" ht="18" customHeight="1">
      <c r="A207" s="415" t="s">
        <v>790</v>
      </c>
      <c r="B207" s="415"/>
      <c r="C207" s="434"/>
      <c r="D207" s="434"/>
      <c r="E207" s="434"/>
      <c r="F207" s="434"/>
      <c r="G207" s="434"/>
      <c r="H207" s="434"/>
      <c r="I207" s="434"/>
      <c r="J207" s="434"/>
      <c r="K207" s="434"/>
      <c r="L207" s="434"/>
      <c r="M207" s="434"/>
      <c r="N207" s="434"/>
      <c r="O207" s="434"/>
      <c r="P207" s="434"/>
      <c r="Q207" s="434"/>
      <c r="R207" s="434"/>
      <c r="S207" s="434"/>
      <c r="T207" s="434"/>
      <c r="U207" s="434"/>
      <c r="V207" s="434"/>
      <c r="W207" s="434"/>
      <c r="X207" s="748"/>
      <c r="Y207" s="731" t="s">
        <v>98</v>
      </c>
      <c r="Z207" s="732"/>
      <c r="AA207" s="732"/>
      <c r="AB207" s="732"/>
      <c r="AC207" s="732"/>
      <c r="AD207" s="732"/>
      <c r="AE207" s="732"/>
      <c r="AF207" s="732"/>
      <c r="AG207" s="732"/>
      <c r="AH207" s="732"/>
      <c r="AI207" s="732"/>
      <c r="AJ207" s="732"/>
      <c r="AK207" s="732"/>
      <c r="AL207" s="732"/>
      <c r="AM207" s="732"/>
      <c r="AN207" s="733"/>
      <c r="AO207" s="734">
        <f>SUM(AO205:AR206)</f>
        <v>81.749999999999986</v>
      </c>
      <c r="AP207" s="735"/>
      <c r="AQ207" s="735"/>
      <c r="AR207" s="736"/>
    </row>
    <row r="209" spans="3:44" ht="18" customHeight="1">
      <c r="C209" s="420" t="s">
        <v>99</v>
      </c>
      <c r="D209" s="421"/>
      <c r="E209" s="421"/>
      <c r="F209" s="421"/>
      <c r="G209" s="421"/>
      <c r="H209" s="421"/>
      <c r="I209" s="422"/>
      <c r="J209" s="422"/>
      <c r="K209" s="422"/>
      <c r="L209" s="422"/>
      <c r="M209" s="422"/>
      <c r="N209" s="422"/>
      <c r="O209" s="422"/>
      <c r="P209" s="422"/>
      <c r="Q209" s="422"/>
      <c r="R209" s="422"/>
      <c r="S209" s="422"/>
      <c r="T209" s="422"/>
      <c r="U209" s="422"/>
      <c r="V209" s="422"/>
      <c r="W209" s="422"/>
      <c r="X209" s="422"/>
      <c r="Y209" s="422"/>
      <c r="Z209" s="422"/>
      <c r="AA209" s="422"/>
      <c r="AB209" s="422"/>
      <c r="AC209" s="422"/>
      <c r="AD209" s="422"/>
      <c r="AE209" s="422"/>
      <c r="AF209" s="422"/>
      <c r="AG209" s="422"/>
      <c r="AH209" s="422"/>
      <c r="AI209" s="422"/>
      <c r="AJ209" s="422"/>
      <c r="AK209" s="422"/>
      <c r="AL209" s="422"/>
      <c r="AM209" s="422"/>
      <c r="AN209" s="422"/>
      <c r="AO209" s="422"/>
      <c r="AP209" s="422"/>
      <c r="AQ209" s="422"/>
      <c r="AR209" s="423"/>
    </row>
    <row r="210" spans="3:44" ht="18" customHeight="1">
      <c r="C210" s="411"/>
      <c r="D210" s="412"/>
      <c r="E210" s="412"/>
      <c r="F210" s="412"/>
      <c r="G210" s="412"/>
      <c r="H210" s="412"/>
      <c r="I210" s="409"/>
      <c r="J210" s="409"/>
      <c r="K210" s="409"/>
      <c r="L210" s="409"/>
      <c r="M210" s="409"/>
      <c r="N210" s="409"/>
      <c r="O210" s="409"/>
      <c r="P210" s="409"/>
      <c r="Q210" s="409"/>
      <c r="R210" s="409"/>
      <c r="S210" s="409"/>
      <c r="T210" s="409"/>
      <c r="U210" s="409"/>
      <c r="V210" s="409"/>
      <c r="W210" s="409"/>
      <c r="X210" s="409"/>
      <c r="Y210" s="409"/>
      <c r="Z210" s="409"/>
      <c r="AA210" s="409"/>
      <c r="AB210" s="409"/>
      <c r="AC210" s="409"/>
      <c r="AD210" s="409"/>
      <c r="AE210" s="409"/>
      <c r="AF210" s="409"/>
      <c r="AG210" s="409"/>
      <c r="AH210" s="409"/>
      <c r="AI210" s="409"/>
      <c r="AJ210" s="409"/>
      <c r="AK210" s="409"/>
      <c r="AL210" s="409"/>
      <c r="AM210" s="409"/>
      <c r="AN210" s="409"/>
      <c r="AO210" s="409"/>
      <c r="AP210" s="409"/>
      <c r="AQ210" s="409"/>
      <c r="AR210" s="410"/>
    </row>
    <row r="211" spans="3:44" ht="18" customHeight="1">
      <c r="C211" s="411"/>
      <c r="D211" s="412"/>
      <c r="E211" s="412"/>
      <c r="F211" s="412"/>
      <c r="G211" s="412"/>
      <c r="H211" s="412"/>
      <c r="I211" s="409"/>
      <c r="J211" s="409"/>
      <c r="K211" s="409"/>
      <c r="L211" s="409"/>
      <c r="M211" s="409"/>
      <c r="N211" s="409"/>
      <c r="O211" s="409"/>
      <c r="P211" s="409"/>
      <c r="Q211" s="409"/>
      <c r="R211" s="409"/>
      <c r="S211" s="409"/>
      <c r="T211" s="409"/>
      <c r="U211" s="409"/>
      <c r="V211" s="409"/>
      <c r="W211" s="409"/>
      <c r="X211" s="409"/>
      <c r="Y211" s="409"/>
      <c r="Z211" s="409"/>
      <c r="AA211" s="409"/>
      <c r="AB211" s="409"/>
      <c r="AC211" s="409"/>
      <c r="AD211" s="409"/>
      <c r="AE211" s="409"/>
      <c r="AF211" s="409"/>
      <c r="AG211" s="409"/>
      <c r="AH211" s="409"/>
      <c r="AI211" s="409"/>
      <c r="AJ211" s="409"/>
      <c r="AK211" s="409"/>
      <c r="AL211" s="409"/>
      <c r="AM211" s="409"/>
      <c r="AN211" s="409"/>
      <c r="AO211" s="409"/>
      <c r="AP211" s="409"/>
      <c r="AQ211" s="409"/>
      <c r="AR211" s="410"/>
    </row>
    <row r="212" spans="3:44" ht="18" customHeight="1">
      <c r="C212" s="411"/>
      <c r="D212" s="412"/>
      <c r="E212" s="412"/>
      <c r="F212" s="412"/>
      <c r="G212" s="412"/>
      <c r="H212" s="412"/>
      <c r="I212" s="409"/>
      <c r="J212" s="409"/>
      <c r="K212" s="409"/>
      <c r="L212" s="409"/>
      <c r="M212" s="409"/>
      <c r="N212" s="409"/>
      <c r="O212" s="409"/>
      <c r="P212" s="409"/>
      <c r="Q212" s="409"/>
      <c r="R212" s="409"/>
      <c r="S212" s="409"/>
      <c r="T212" s="409"/>
      <c r="U212" s="409"/>
      <c r="V212" s="409"/>
      <c r="W212" s="409"/>
      <c r="X212" s="409"/>
      <c r="Y212" s="409"/>
      <c r="Z212" s="409"/>
      <c r="AA212" s="409"/>
      <c r="AB212" s="409"/>
      <c r="AC212" s="409"/>
      <c r="AD212" s="409"/>
      <c r="AE212" s="409"/>
      <c r="AF212" s="409"/>
      <c r="AG212" s="409"/>
      <c r="AH212" s="409"/>
      <c r="AI212" s="409"/>
      <c r="AJ212" s="409"/>
      <c r="AK212" s="409"/>
      <c r="AL212" s="409"/>
      <c r="AM212" s="409"/>
      <c r="AN212" s="409"/>
      <c r="AO212" s="409"/>
      <c r="AP212" s="409"/>
      <c r="AQ212" s="409"/>
      <c r="AR212" s="410"/>
    </row>
    <row r="213" spans="3:44" ht="18" customHeight="1">
      <c r="C213" s="411"/>
      <c r="D213" s="412"/>
      <c r="E213" s="412"/>
      <c r="F213" s="412"/>
      <c r="G213" s="412"/>
      <c r="H213" s="412"/>
      <c r="I213" s="409"/>
      <c r="J213" s="409"/>
      <c r="K213" s="409"/>
      <c r="L213" s="409"/>
      <c r="M213" s="409"/>
      <c r="N213" s="409"/>
      <c r="O213" s="409"/>
      <c r="P213" s="409"/>
      <c r="Q213" s="409"/>
      <c r="R213" s="409"/>
      <c r="S213" s="409"/>
      <c r="T213" s="409"/>
      <c r="U213" s="409"/>
      <c r="V213" s="409"/>
      <c r="W213" s="409"/>
      <c r="X213" s="409"/>
      <c r="Y213" s="409"/>
      <c r="Z213" s="409"/>
      <c r="AA213" s="409"/>
      <c r="AB213" s="409"/>
      <c r="AC213" s="409"/>
      <c r="AD213" s="409"/>
      <c r="AE213" s="409"/>
      <c r="AF213" s="409"/>
      <c r="AG213" s="409"/>
      <c r="AH213" s="409"/>
      <c r="AI213" s="409"/>
      <c r="AJ213" s="409"/>
      <c r="AK213" s="409"/>
      <c r="AL213" s="409"/>
      <c r="AM213" s="409"/>
      <c r="AN213" s="409"/>
      <c r="AO213" s="409"/>
      <c r="AP213" s="409"/>
      <c r="AQ213" s="409"/>
      <c r="AR213" s="410"/>
    </row>
    <row r="214" spans="3:44" ht="18" customHeight="1">
      <c r="C214" s="385"/>
      <c r="D214" s="386"/>
      <c r="E214" s="386"/>
      <c r="F214" s="386"/>
      <c r="G214" s="386"/>
      <c r="H214" s="386"/>
      <c r="I214" s="387"/>
      <c r="J214" s="387"/>
      <c r="K214" s="387"/>
      <c r="L214" s="387"/>
      <c r="M214" s="387"/>
      <c r="N214" s="387"/>
      <c r="O214" s="387"/>
      <c r="P214" s="387"/>
      <c r="Q214" s="387"/>
      <c r="R214" s="387"/>
      <c r="S214" s="387"/>
      <c r="T214" s="387"/>
      <c r="U214" s="387"/>
      <c r="V214" s="387"/>
      <c r="W214" s="387"/>
      <c r="X214" s="387"/>
      <c r="Y214" s="387"/>
      <c r="Z214" s="387"/>
      <c r="AA214" s="387"/>
      <c r="AB214" s="387"/>
      <c r="AC214" s="387"/>
      <c r="AD214" s="387"/>
      <c r="AE214" s="387"/>
      <c r="AF214" s="387"/>
      <c r="AG214" s="387"/>
      <c r="AH214" s="387"/>
      <c r="AI214" s="387"/>
      <c r="AJ214" s="387"/>
      <c r="AK214" s="387"/>
      <c r="AL214" s="387"/>
      <c r="AM214" s="387"/>
      <c r="AN214" s="387"/>
      <c r="AO214" s="387"/>
      <c r="AP214" s="387"/>
      <c r="AQ214" s="387"/>
      <c r="AR214" s="388"/>
    </row>
    <row r="216" spans="3:44" ht="18" customHeight="1">
      <c r="C216" s="389" t="s">
        <v>100</v>
      </c>
      <c r="D216" s="390"/>
      <c r="E216" s="390"/>
      <c r="F216" s="390"/>
      <c r="G216" s="390"/>
      <c r="H216" s="390"/>
      <c r="I216" s="390"/>
      <c r="J216" s="390"/>
      <c r="K216" s="390"/>
      <c r="L216" s="390"/>
      <c r="M216" s="390"/>
      <c r="N216" s="390"/>
      <c r="O216" s="390"/>
      <c r="P216" s="390"/>
      <c r="Q216" s="390"/>
      <c r="R216" s="390"/>
      <c r="S216" s="390"/>
      <c r="T216" s="390"/>
      <c r="U216" s="390"/>
      <c r="V216" s="390"/>
      <c r="W216" s="390"/>
      <c r="X216" s="390"/>
      <c r="Y216" s="390"/>
      <c r="Z216" s="390"/>
      <c r="AA216" s="391"/>
      <c r="AB216" s="392" t="str">
        <f>[4]C.UNIT.SERV.!$E$5</f>
        <v>DATA-BASE:      MAIO/2011/PR</v>
      </c>
      <c r="AC216" s="393"/>
      <c r="AD216" s="393"/>
      <c r="AE216" s="393"/>
      <c r="AF216" s="393"/>
      <c r="AG216" s="393"/>
      <c r="AH216" s="393"/>
      <c r="AI216" s="394"/>
      <c r="AJ216" s="392"/>
      <c r="AK216" s="393"/>
      <c r="AL216" s="393"/>
      <c r="AM216" s="393"/>
      <c r="AN216" s="393"/>
      <c r="AO216" s="393"/>
      <c r="AP216" s="393"/>
      <c r="AQ216" s="393"/>
      <c r="AR216" s="401"/>
    </row>
    <row r="217" spans="3:44" ht="18" customHeight="1">
      <c r="C217" s="404" t="s">
        <v>101</v>
      </c>
      <c r="D217" s="405"/>
      <c r="E217" s="405"/>
      <c r="F217" s="405"/>
      <c r="G217" s="405" t="s">
        <v>283</v>
      </c>
      <c r="H217" s="405"/>
      <c r="I217" s="405"/>
      <c r="J217" s="405"/>
      <c r="K217" s="405"/>
      <c r="L217" s="405"/>
      <c r="M217" s="405"/>
      <c r="N217" s="405"/>
      <c r="O217" s="405"/>
      <c r="P217" s="405"/>
      <c r="Q217" s="405"/>
      <c r="R217" s="405"/>
      <c r="S217" s="405"/>
      <c r="T217" s="405"/>
      <c r="U217" s="405"/>
      <c r="V217" s="405"/>
      <c r="W217" s="405"/>
      <c r="X217" s="405"/>
      <c r="Y217" s="405"/>
      <c r="Z217" s="405"/>
      <c r="AA217" s="406"/>
      <c r="AB217" s="395"/>
      <c r="AC217" s="396"/>
      <c r="AD217" s="396"/>
      <c r="AE217" s="396"/>
      <c r="AF217" s="396"/>
      <c r="AG217" s="396"/>
      <c r="AH217" s="396"/>
      <c r="AI217" s="397"/>
      <c r="AJ217" s="395"/>
      <c r="AK217" s="396"/>
      <c r="AL217" s="396"/>
      <c r="AM217" s="396"/>
      <c r="AN217" s="396"/>
      <c r="AO217" s="396"/>
      <c r="AP217" s="396"/>
      <c r="AQ217" s="396"/>
      <c r="AR217" s="402"/>
    </row>
    <row r="218" spans="3:44" ht="18" customHeight="1">
      <c r="C218" s="404" t="s">
        <v>102</v>
      </c>
      <c r="D218" s="405"/>
      <c r="E218" s="405"/>
      <c r="F218" s="405"/>
      <c r="G218" s="405"/>
      <c r="H218" s="405"/>
      <c r="I218" s="405"/>
      <c r="J218" s="405"/>
      <c r="K218" s="405"/>
      <c r="L218" s="405"/>
      <c r="M218" s="405"/>
      <c r="N218" s="405"/>
      <c r="O218" s="405"/>
      <c r="P218" s="405"/>
      <c r="Q218" s="405"/>
      <c r="R218" s="405"/>
      <c r="S218" s="405"/>
      <c r="T218" s="405"/>
      <c r="U218" s="405"/>
      <c r="V218" s="405"/>
      <c r="W218" s="405"/>
      <c r="X218" s="405"/>
      <c r="Y218" s="405"/>
      <c r="Z218" s="405"/>
      <c r="AA218" s="406"/>
      <c r="AB218" s="395"/>
      <c r="AC218" s="396"/>
      <c r="AD218" s="396"/>
      <c r="AE218" s="396"/>
      <c r="AF218" s="396"/>
      <c r="AG218" s="396"/>
      <c r="AH218" s="396"/>
      <c r="AI218" s="397"/>
      <c r="AJ218" s="395"/>
      <c r="AK218" s="396"/>
      <c r="AL218" s="396"/>
      <c r="AM218" s="396"/>
      <c r="AN218" s="396"/>
      <c r="AO218" s="396"/>
      <c r="AP218" s="396"/>
      <c r="AQ218" s="396"/>
      <c r="AR218" s="402"/>
    </row>
    <row r="219" spans="3:44" ht="18" customHeight="1">
      <c r="C219" s="407"/>
      <c r="D219" s="408"/>
      <c r="E219" s="408"/>
      <c r="F219" s="408"/>
      <c r="G219" s="408"/>
      <c r="H219" s="408"/>
      <c r="I219" s="408"/>
      <c r="J219" s="408"/>
      <c r="K219" s="408"/>
      <c r="L219" s="408"/>
      <c r="M219" s="408"/>
      <c r="N219" s="408"/>
      <c r="O219" s="408"/>
      <c r="P219" s="408"/>
      <c r="Q219" s="408"/>
      <c r="R219" s="408"/>
      <c r="S219" s="408"/>
      <c r="T219" s="408"/>
      <c r="U219" s="408"/>
      <c r="V219" s="408"/>
      <c r="W219" s="408"/>
      <c r="X219" s="408"/>
      <c r="Y219" s="408"/>
      <c r="Z219" s="408"/>
      <c r="AA219" s="408"/>
      <c r="AB219" s="398"/>
      <c r="AC219" s="399"/>
      <c r="AD219" s="399"/>
      <c r="AE219" s="399"/>
      <c r="AF219" s="399"/>
      <c r="AG219" s="399"/>
      <c r="AH219" s="399"/>
      <c r="AI219" s="400"/>
      <c r="AJ219" s="398"/>
      <c r="AK219" s="399"/>
      <c r="AL219" s="399"/>
      <c r="AM219" s="399"/>
      <c r="AN219" s="399"/>
      <c r="AO219" s="399"/>
      <c r="AP219" s="399"/>
      <c r="AQ219" s="399"/>
      <c r="AR219" s="403"/>
    </row>
  </sheetData>
  <mergeCells count="1029">
    <mergeCell ref="C219:AA219"/>
    <mergeCell ref="AC212:AR212"/>
    <mergeCell ref="C213:H213"/>
    <mergeCell ref="I213:J213"/>
    <mergeCell ref="K213:Z213"/>
    <mergeCell ref="AA213:AB213"/>
    <mergeCell ref="AC213:AR213"/>
    <mergeCell ref="C214:H214"/>
    <mergeCell ref="I214:J214"/>
    <mergeCell ref="K214:Z214"/>
    <mergeCell ref="AA214:AB214"/>
    <mergeCell ref="AC214:AR214"/>
    <mergeCell ref="C216:F216"/>
    <mergeCell ref="G216:AA216"/>
    <mergeCell ref="AB216:AI219"/>
    <mergeCell ref="AJ216:AR219"/>
    <mergeCell ref="C217:F217"/>
    <mergeCell ref="AC210:AR210"/>
    <mergeCell ref="C211:H211"/>
    <mergeCell ref="I211:J211"/>
    <mergeCell ref="K211:Z211"/>
    <mergeCell ref="AA211:AB211"/>
    <mergeCell ref="AC211:AR211"/>
    <mergeCell ref="C212:H212"/>
    <mergeCell ref="I212:J212"/>
    <mergeCell ref="K212:Z212"/>
    <mergeCell ref="AA212:AB212"/>
    <mergeCell ref="C210:H210"/>
    <mergeCell ref="I210:J210"/>
    <mergeCell ref="K210:Z210"/>
    <mergeCell ref="AA210:AB210"/>
    <mergeCell ref="G217:AA217"/>
    <mergeCell ref="C218:F218"/>
    <mergeCell ref="G218:AA218"/>
    <mergeCell ref="C203:X203"/>
    <mergeCell ref="Y203:AN203"/>
    <mergeCell ref="AO203:AR203"/>
    <mergeCell ref="C205:X207"/>
    <mergeCell ref="Y205:AN205"/>
    <mergeCell ref="AO205:AR205"/>
    <mergeCell ref="Y206:AG206"/>
    <mergeCell ref="AH206:AN206"/>
    <mergeCell ref="AO206:AR206"/>
    <mergeCell ref="A207:B207"/>
    <mergeCell ref="Y207:AN207"/>
    <mergeCell ref="AO207:AR207"/>
    <mergeCell ref="C209:H209"/>
    <mergeCell ref="I209:J209"/>
    <mergeCell ref="K209:Z209"/>
    <mergeCell ref="AA209:AB209"/>
    <mergeCell ref="AC209:AR209"/>
    <mergeCell ref="C201:E201"/>
    <mergeCell ref="F201:R201"/>
    <mergeCell ref="S201:U201"/>
    <mergeCell ref="V201:X201"/>
    <mergeCell ref="Y201:AD201"/>
    <mergeCell ref="AE201:AG201"/>
    <mergeCell ref="AH201:AJ201"/>
    <mergeCell ref="AK201:AN201"/>
    <mergeCell ref="AO201:AR201"/>
    <mergeCell ref="C202:E202"/>
    <mergeCell ref="F202:R202"/>
    <mergeCell ref="S202:U202"/>
    <mergeCell ref="V202:X202"/>
    <mergeCell ref="Y202:AD202"/>
    <mergeCell ref="AE202:AG202"/>
    <mergeCell ref="AH202:AJ202"/>
    <mergeCell ref="AK202:AN202"/>
    <mergeCell ref="AO202:AR202"/>
    <mergeCell ref="C199:E199"/>
    <mergeCell ref="F199:R199"/>
    <mergeCell ref="S199:U199"/>
    <mergeCell ref="V199:X199"/>
    <mergeCell ref="Y199:AD199"/>
    <mergeCell ref="AE199:AG199"/>
    <mergeCell ref="AH199:AJ199"/>
    <mergeCell ref="AK199:AN199"/>
    <mergeCell ref="AO199:AR199"/>
    <mergeCell ref="C200:E200"/>
    <mergeCell ref="F200:R200"/>
    <mergeCell ref="S200:U200"/>
    <mergeCell ref="V200:X200"/>
    <mergeCell ref="Y200:AD200"/>
    <mergeCell ref="AE200:AG200"/>
    <mergeCell ref="AH200:AJ200"/>
    <mergeCell ref="AK200:AN200"/>
    <mergeCell ref="AO200:AR200"/>
    <mergeCell ref="C197:E197"/>
    <mergeCell ref="F197:R197"/>
    <mergeCell ref="S197:U197"/>
    <mergeCell ref="V197:X197"/>
    <mergeCell ref="Y197:AD197"/>
    <mergeCell ref="AE197:AG197"/>
    <mergeCell ref="AH197:AJ197"/>
    <mergeCell ref="AK197:AN197"/>
    <mergeCell ref="AO197:AR197"/>
    <mergeCell ref="C198:E198"/>
    <mergeCell ref="F198:R198"/>
    <mergeCell ref="S198:U198"/>
    <mergeCell ref="V198:X198"/>
    <mergeCell ref="Y198:AD198"/>
    <mergeCell ref="AE198:AG198"/>
    <mergeCell ref="AH198:AJ198"/>
    <mergeCell ref="AK198:AN198"/>
    <mergeCell ref="AO198:AR198"/>
    <mergeCell ref="C195:E195"/>
    <mergeCell ref="F195:R195"/>
    <mergeCell ref="S195:U195"/>
    <mergeCell ref="V195:X195"/>
    <mergeCell ref="Y195:AD195"/>
    <mergeCell ref="AE195:AG195"/>
    <mergeCell ref="AH195:AJ195"/>
    <mergeCell ref="AK195:AN195"/>
    <mergeCell ref="AO195:AR195"/>
    <mergeCell ref="C196:E196"/>
    <mergeCell ref="F196:R196"/>
    <mergeCell ref="S196:U196"/>
    <mergeCell ref="V196:X196"/>
    <mergeCell ref="Y196:AD196"/>
    <mergeCell ref="AE196:AG196"/>
    <mergeCell ref="AH196:AJ196"/>
    <mergeCell ref="AK196:AN196"/>
    <mergeCell ref="AO196:AR196"/>
    <mergeCell ref="C189:E189"/>
    <mergeCell ref="F189:AB189"/>
    <mergeCell ref="AC189:AF189"/>
    <mergeCell ref="AG189:AJ189"/>
    <mergeCell ref="AK189:AN189"/>
    <mergeCell ref="AO189:AR189"/>
    <mergeCell ref="C190:E190"/>
    <mergeCell ref="F190:AB190"/>
    <mergeCell ref="AC190:AF190"/>
    <mergeCell ref="AG190:AJ190"/>
    <mergeCell ref="AK190:AN190"/>
    <mergeCell ref="AO190:AR190"/>
    <mergeCell ref="C191:X191"/>
    <mergeCell ref="Y191:AN191"/>
    <mergeCell ref="AO191:AR191"/>
    <mergeCell ref="C193:E194"/>
    <mergeCell ref="F193:R194"/>
    <mergeCell ref="S193:U194"/>
    <mergeCell ref="V193:X194"/>
    <mergeCell ref="Y193:AD194"/>
    <mergeCell ref="AE193:AG194"/>
    <mergeCell ref="AH193:AJ194"/>
    <mergeCell ref="AK193:AN194"/>
    <mergeCell ref="AO193:AR194"/>
    <mergeCell ref="C186:E186"/>
    <mergeCell ref="F186:AB186"/>
    <mergeCell ref="AC186:AF186"/>
    <mergeCell ref="AG186:AJ186"/>
    <mergeCell ref="AK186:AN186"/>
    <mergeCell ref="AO186:AR186"/>
    <mergeCell ref="C187:E187"/>
    <mergeCell ref="F187:AB187"/>
    <mergeCell ref="AC187:AF187"/>
    <mergeCell ref="AG187:AJ187"/>
    <mergeCell ref="AK187:AN187"/>
    <mergeCell ref="AO187:AR187"/>
    <mergeCell ref="C188:E188"/>
    <mergeCell ref="F188:AB188"/>
    <mergeCell ref="AC188:AF188"/>
    <mergeCell ref="AG188:AJ188"/>
    <mergeCell ref="AK188:AN188"/>
    <mergeCell ref="AO188:AR188"/>
    <mergeCell ref="C183:E183"/>
    <mergeCell ref="F183:AB183"/>
    <mergeCell ref="AC183:AF183"/>
    <mergeCell ref="AG183:AJ183"/>
    <mergeCell ref="AK183:AN183"/>
    <mergeCell ref="AO183:AR183"/>
    <mergeCell ref="C184:E184"/>
    <mergeCell ref="F184:AB184"/>
    <mergeCell ref="AC184:AF184"/>
    <mergeCell ref="AG184:AJ184"/>
    <mergeCell ref="AK184:AN184"/>
    <mergeCell ref="AO184:AR184"/>
    <mergeCell ref="C185:E185"/>
    <mergeCell ref="F185:AB185"/>
    <mergeCell ref="AC185:AF185"/>
    <mergeCell ref="AG185:AJ185"/>
    <mergeCell ref="AK185:AN185"/>
    <mergeCell ref="AO185:AR185"/>
    <mergeCell ref="C176:X176"/>
    <mergeCell ref="Y176:AN176"/>
    <mergeCell ref="AO176:AR176"/>
    <mergeCell ref="C178:X178"/>
    <mergeCell ref="Y178:AN178"/>
    <mergeCell ref="AO178:AR178"/>
    <mergeCell ref="C179:P179"/>
    <mergeCell ref="Q179:U179"/>
    <mergeCell ref="V179:X179"/>
    <mergeCell ref="Y179:AN179"/>
    <mergeCell ref="AO179:AR179"/>
    <mergeCell ref="C181:E182"/>
    <mergeCell ref="F181:AB182"/>
    <mergeCell ref="AC181:AF182"/>
    <mergeCell ref="AG181:AJ182"/>
    <mergeCell ref="AK181:AN182"/>
    <mergeCell ref="AO181:AR182"/>
    <mergeCell ref="C173:E173"/>
    <mergeCell ref="F173:AB173"/>
    <mergeCell ref="AC173:AF173"/>
    <mergeCell ref="AG173:AJ173"/>
    <mergeCell ref="AK173:AN173"/>
    <mergeCell ref="AO173:AR173"/>
    <mergeCell ref="C174:E174"/>
    <mergeCell ref="F174:AB174"/>
    <mergeCell ref="AC174:AF174"/>
    <mergeCell ref="AG174:AJ174"/>
    <mergeCell ref="AK174:AN174"/>
    <mergeCell ref="AO174:AR174"/>
    <mergeCell ref="C175:X175"/>
    <mergeCell ref="Y175:AF175"/>
    <mergeCell ref="AG175:AJ175"/>
    <mergeCell ref="AK175:AN175"/>
    <mergeCell ref="AO175:AR175"/>
    <mergeCell ref="C170:E170"/>
    <mergeCell ref="F170:AB170"/>
    <mergeCell ref="AC170:AF170"/>
    <mergeCell ref="AG170:AJ170"/>
    <mergeCell ref="AK170:AN170"/>
    <mergeCell ref="AO170:AR170"/>
    <mergeCell ref="C171:E171"/>
    <mergeCell ref="F171:AB171"/>
    <mergeCell ref="AC171:AF171"/>
    <mergeCell ref="AG171:AJ171"/>
    <mergeCell ref="AK171:AN171"/>
    <mergeCell ref="AO171:AR171"/>
    <mergeCell ref="C172:E172"/>
    <mergeCell ref="F172:AB172"/>
    <mergeCell ref="AC172:AF172"/>
    <mergeCell ref="AG172:AJ172"/>
    <mergeCell ref="AK172:AN172"/>
    <mergeCell ref="AO172:AR172"/>
    <mergeCell ref="C167:E167"/>
    <mergeCell ref="F167:AB167"/>
    <mergeCell ref="AC167:AF167"/>
    <mergeCell ref="AG167:AJ167"/>
    <mergeCell ref="AK167:AN167"/>
    <mergeCell ref="AO167:AR167"/>
    <mergeCell ref="C168:E168"/>
    <mergeCell ref="F168:AB168"/>
    <mergeCell ref="AC168:AF168"/>
    <mergeCell ref="AG168:AJ168"/>
    <mergeCell ref="AK168:AN168"/>
    <mergeCell ref="AO168:AR168"/>
    <mergeCell ref="C169:E169"/>
    <mergeCell ref="F169:AB169"/>
    <mergeCell ref="AC169:AF169"/>
    <mergeCell ref="AG169:AJ169"/>
    <mergeCell ref="AK169:AN169"/>
    <mergeCell ref="AO169:AR169"/>
    <mergeCell ref="C162:E162"/>
    <mergeCell ref="F162:U162"/>
    <mergeCell ref="V162:X162"/>
    <mergeCell ref="Y162:AB162"/>
    <mergeCell ref="AC162:AF162"/>
    <mergeCell ref="AG162:AJ162"/>
    <mergeCell ref="AK162:AN162"/>
    <mergeCell ref="AO162:AR162"/>
    <mergeCell ref="C163:X163"/>
    <mergeCell ref="Y163:AN163"/>
    <mergeCell ref="AO163:AR163"/>
    <mergeCell ref="C165:E166"/>
    <mergeCell ref="F165:AB166"/>
    <mergeCell ref="AC165:AF166"/>
    <mergeCell ref="AG165:AJ166"/>
    <mergeCell ref="AK165:AN166"/>
    <mergeCell ref="AO165:AR166"/>
    <mergeCell ref="C159:E159"/>
    <mergeCell ref="F159:U159"/>
    <mergeCell ref="V159:X159"/>
    <mergeCell ref="Y159:AB159"/>
    <mergeCell ref="AC159:AF159"/>
    <mergeCell ref="AG159:AJ159"/>
    <mergeCell ref="AK159:AN159"/>
    <mergeCell ref="AO159:AR159"/>
    <mergeCell ref="C160:E160"/>
    <mergeCell ref="F160:U160"/>
    <mergeCell ref="V160:X160"/>
    <mergeCell ref="Y160:AB160"/>
    <mergeCell ref="AC160:AF160"/>
    <mergeCell ref="AG160:AJ160"/>
    <mergeCell ref="AK160:AN160"/>
    <mergeCell ref="AO160:AR160"/>
    <mergeCell ref="C161:E161"/>
    <mergeCell ref="F161:U161"/>
    <mergeCell ref="V161:X161"/>
    <mergeCell ref="Y161:AB161"/>
    <mergeCell ref="AC161:AF161"/>
    <mergeCell ref="AG161:AJ161"/>
    <mergeCell ref="AK161:AN161"/>
    <mergeCell ref="AO161:AR161"/>
    <mergeCell ref="C156:E156"/>
    <mergeCell ref="F156:U156"/>
    <mergeCell ref="V156:X156"/>
    <mergeCell ref="Y156:AB156"/>
    <mergeCell ref="AC156:AF156"/>
    <mergeCell ref="AG156:AJ156"/>
    <mergeCell ref="AK156:AN156"/>
    <mergeCell ref="AO156:AR156"/>
    <mergeCell ref="C157:E157"/>
    <mergeCell ref="F157:U157"/>
    <mergeCell ref="V157:X157"/>
    <mergeCell ref="Y157:AB157"/>
    <mergeCell ref="AC157:AF157"/>
    <mergeCell ref="AG157:AJ157"/>
    <mergeCell ref="AK157:AN157"/>
    <mergeCell ref="AO157:AR157"/>
    <mergeCell ref="C158:E158"/>
    <mergeCell ref="F158:U158"/>
    <mergeCell ref="V158:X158"/>
    <mergeCell ref="Y158:AB158"/>
    <mergeCell ref="AC158:AF158"/>
    <mergeCell ref="AG158:AJ158"/>
    <mergeCell ref="AK158:AN158"/>
    <mergeCell ref="AO158:AR158"/>
    <mergeCell ref="C153:E154"/>
    <mergeCell ref="F153:U154"/>
    <mergeCell ref="V153:X154"/>
    <mergeCell ref="Y153:AF153"/>
    <mergeCell ref="AG153:AN153"/>
    <mergeCell ref="AO153:AR154"/>
    <mergeCell ref="Y154:AB154"/>
    <mergeCell ref="AC154:AF154"/>
    <mergeCell ref="AG154:AJ154"/>
    <mergeCell ref="AK154:AN154"/>
    <mergeCell ref="C155:E155"/>
    <mergeCell ref="F155:U155"/>
    <mergeCell ref="V155:X155"/>
    <mergeCell ref="Y155:AB155"/>
    <mergeCell ref="AC155:AF155"/>
    <mergeCell ref="AG155:AJ155"/>
    <mergeCell ref="AK155:AN155"/>
    <mergeCell ref="AO155:AR155"/>
    <mergeCell ref="C141:H141"/>
    <mergeCell ref="I141:J141"/>
    <mergeCell ref="K141:Z141"/>
    <mergeCell ref="AA141:AB141"/>
    <mergeCell ref="AC141:AR141"/>
    <mergeCell ref="C143:F143"/>
    <mergeCell ref="G143:AA143"/>
    <mergeCell ref="AB143:AI146"/>
    <mergeCell ref="AJ143:AR146"/>
    <mergeCell ref="C144:F144"/>
    <mergeCell ref="G144:AA144"/>
    <mergeCell ref="C145:F145"/>
    <mergeCell ref="G145:AA145"/>
    <mergeCell ref="C146:AA146"/>
    <mergeCell ref="C148:AR149"/>
    <mergeCell ref="C150:F151"/>
    <mergeCell ref="G150:J151"/>
    <mergeCell ref="K150:N151"/>
    <mergeCell ref="O150:AK151"/>
    <mergeCell ref="AL150:AO151"/>
    <mergeCell ref="AP150:AR151"/>
    <mergeCell ref="C137:H137"/>
    <mergeCell ref="I137:J137"/>
    <mergeCell ref="K137:Z137"/>
    <mergeCell ref="AA137:AB137"/>
    <mergeCell ref="AC137:AR137"/>
    <mergeCell ref="C138:H138"/>
    <mergeCell ref="I138:J138"/>
    <mergeCell ref="K138:Z138"/>
    <mergeCell ref="AA138:AB138"/>
    <mergeCell ref="AC138:AR138"/>
    <mergeCell ref="C139:H139"/>
    <mergeCell ref="I139:J139"/>
    <mergeCell ref="K139:Z139"/>
    <mergeCell ref="AA139:AB139"/>
    <mergeCell ref="AC139:AR139"/>
    <mergeCell ref="C140:H140"/>
    <mergeCell ref="I140:J140"/>
    <mergeCell ref="K140:Z140"/>
    <mergeCell ref="AA140:AB140"/>
    <mergeCell ref="AC140:AR140"/>
    <mergeCell ref="C130:X130"/>
    <mergeCell ref="Y130:AN130"/>
    <mergeCell ref="AO130:AR130"/>
    <mergeCell ref="C132:X134"/>
    <mergeCell ref="Y132:AN132"/>
    <mergeCell ref="AO132:AR132"/>
    <mergeCell ref="Y133:AG133"/>
    <mergeCell ref="AH133:AN133"/>
    <mergeCell ref="AO133:AR133"/>
    <mergeCell ref="A134:B134"/>
    <mergeCell ref="Y134:AN134"/>
    <mergeCell ref="AO134:AR134"/>
    <mergeCell ref="C136:H136"/>
    <mergeCell ref="I136:J136"/>
    <mergeCell ref="K136:Z136"/>
    <mergeCell ref="AA136:AB136"/>
    <mergeCell ref="AC136:AR136"/>
    <mergeCell ref="C128:E128"/>
    <mergeCell ref="F128:R128"/>
    <mergeCell ref="S128:U128"/>
    <mergeCell ref="V128:X128"/>
    <mergeCell ref="Y128:AD128"/>
    <mergeCell ref="AE128:AG128"/>
    <mergeCell ref="AH128:AJ128"/>
    <mergeCell ref="AK128:AN128"/>
    <mergeCell ref="AO128:AR128"/>
    <mergeCell ref="C129:E129"/>
    <mergeCell ref="F129:R129"/>
    <mergeCell ref="S129:U129"/>
    <mergeCell ref="V129:X129"/>
    <mergeCell ref="Y129:AD129"/>
    <mergeCell ref="AE129:AG129"/>
    <mergeCell ref="AH129:AJ129"/>
    <mergeCell ref="AK129:AN129"/>
    <mergeCell ref="AO129:AR129"/>
    <mergeCell ref="C126:E126"/>
    <mergeCell ref="F126:R126"/>
    <mergeCell ref="S126:U126"/>
    <mergeCell ref="V126:X126"/>
    <mergeCell ref="Y126:AD126"/>
    <mergeCell ref="AE126:AG126"/>
    <mergeCell ref="AH126:AJ126"/>
    <mergeCell ref="AK126:AN126"/>
    <mergeCell ref="AO126:AR126"/>
    <mergeCell ref="C127:E127"/>
    <mergeCell ref="F127:R127"/>
    <mergeCell ref="S127:U127"/>
    <mergeCell ref="V127:X127"/>
    <mergeCell ref="Y127:AD127"/>
    <mergeCell ref="AE127:AG127"/>
    <mergeCell ref="AH127:AJ127"/>
    <mergeCell ref="AK127:AN127"/>
    <mergeCell ref="AO127:AR127"/>
    <mergeCell ref="C124:E124"/>
    <mergeCell ref="F124:R124"/>
    <mergeCell ref="S124:U124"/>
    <mergeCell ref="V124:X124"/>
    <mergeCell ref="Y124:AD124"/>
    <mergeCell ref="AE124:AG124"/>
    <mergeCell ref="AH124:AJ124"/>
    <mergeCell ref="AK124:AN124"/>
    <mergeCell ref="AO124:AR124"/>
    <mergeCell ref="C125:E125"/>
    <mergeCell ref="F125:R125"/>
    <mergeCell ref="S125:U125"/>
    <mergeCell ref="V125:X125"/>
    <mergeCell ref="Y125:AD125"/>
    <mergeCell ref="AE125:AG125"/>
    <mergeCell ref="AH125:AJ125"/>
    <mergeCell ref="AK125:AN125"/>
    <mergeCell ref="AO125:AR125"/>
    <mergeCell ref="C122:E122"/>
    <mergeCell ref="F122:R122"/>
    <mergeCell ref="S122:U122"/>
    <mergeCell ref="V122:X122"/>
    <mergeCell ref="Y122:AD122"/>
    <mergeCell ref="AE122:AG122"/>
    <mergeCell ref="AH122:AJ122"/>
    <mergeCell ref="AK122:AN122"/>
    <mergeCell ref="AO122:AR122"/>
    <mergeCell ref="C123:E123"/>
    <mergeCell ref="F123:R123"/>
    <mergeCell ref="S123:U123"/>
    <mergeCell ref="V123:X123"/>
    <mergeCell ref="Y123:AD123"/>
    <mergeCell ref="AE123:AG123"/>
    <mergeCell ref="AH123:AJ123"/>
    <mergeCell ref="AK123:AN123"/>
    <mergeCell ref="AO123:AR123"/>
    <mergeCell ref="C116:E116"/>
    <mergeCell ref="F116:AB116"/>
    <mergeCell ref="AC116:AF116"/>
    <mergeCell ref="AG116:AJ116"/>
    <mergeCell ref="AK116:AN116"/>
    <mergeCell ref="AO116:AR116"/>
    <mergeCell ref="C117:E117"/>
    <mergeCell ref="F117:AB117"/>
    <mergeCell ref="AC117:AF117"/>
    <mergeCell ref="AG117:AJ117"/>
    <mergeCell ref="AK117:AN117"/>
    <mergeCell ref="AO117:AR117"/>
    <mergeCell ref="C118:X118"/>
    <mergeCell ref="Y118:AN118"/>
    <mergeCell ref="AO118:AR118"/>
    <mergeCell ref="C120:E121"/>
    <mergeCell ref="F120:R121"/>
    <mergeCell ref="S120:U121"/>
    <mergeCell ref="V120:X121"/>
    <mergeCell ref="Y120:AD121"/>
    <mergeCell ref="AE120:AG121"/>
    <mergeCell ref="AH120:AJ121"/>
    <mergeCell ref="AK120:AN121"/>
    <mergeCell ref="AO120:AR121"/>
    <mergeCell ref="C113:E113"/>
    <mergeCell ref="F113:AB113"/>
    <mergeCell ref="AC113:AF113"/>
    <mergeCell ref="AG113:AJ113"/>
    <mergeCell ref="AK113:AN113"/>
    <mergeCell ref="AO113:AR113"/>
    <mergeCell ref="C114:E114"/>
    <mergeCell ref="F114:AB114"/>
    <mergeCell ref="AC114:AF114"/>
    <mergeCell ref="AG114:AJ114"/>
    <mergeCell ref="AK114:AN114"/>
    <mergeCell ref="AO114:AR114"/>
    <mergeCell ref="C115:E115"/>
    <mergeCell ref="F115:AB115"/>
    <mergeCell ref="AC115:AF115"/>
    <mergeCell ref="AG115:AJ115"/>
    <mergeCell ref="AK115:AN115"/>
    <mergeCell ref="AO115:AR115"/>
    <mergeCell ref="C110:E110"/>
    <mergeCell ref="F110:AB110"/>
    <mergeCell ref="AC110:AF110"/>
    <mergeCell ref="AG110:AJ110"/>
    <mergeCell ref="AK110:AN110"/>
    <mergeCell ref="AO110:AR110"/>
    <mergeCell ref="C111:E111"/>
    <mergeCell ref="F111:AB111"/>
    <mergeCell ref="AC111:AF111"/>
    <mergeCell ref="AG111:AJ111"/>
    <mergeCell ref="AK111:AN111"/>
    <mergeCell ref="AO111:AR111"/>
    <mergeCell ref="C112:E112"/>
    <mergeCell ref="F112:AB112"/>
    <mergeCell ref="AC112:AF112"/>
    <mergeCell ref="AG112:AJ112"/>
    <mergeCell ref="AK112:AN112"/>
    <mergeCell ref="AO112:AR112"/>
    <mergeCell ref="C103:X103"/>
    <mergeCell ref="Y103:AN103"/>
    <mergeCell ref="AO103:AR103"/>
    <mergeCell ref="C105:X105"/>
    <mergeCell ref="Y105:AN105"/>
    <mergeCell ref="AO105:AR105"/>
    <mergeCell ref="C106:P106"/>
    <mergeCell ref="Q106:U106"/>
    <mergeCell ref="V106:X106"/>
    <mergeCell ref="Y106:AN106"/>
    <mergeCell ref="AO106:AR106"/>
    <mergeCell ref="C108:E109"/>
    <mergeCell ref="F108:AB109"/>
    <mergeCell ref="AC108:AF109"/>
    <mergeCell ref="AG108:AJ109"/>
    <mergeCell ref="AK108:AN109"/>
    <mergeCell ref="AO108:AR109"/>
    <mergeCell ref="C100:E100"/>
    <mergeCell ref="F100:AB100"/>
    <mergeCell ref="AC100:AF100"/>
    <mergeCell ref="AG100:AJ100"/>
    <mergeCell ref="AK100:AN100"/>
    <mergeCell ref="AO100:AR100"/>
    <mergeCell ref="C101:E101"/>
    <mergeCell ref="F101:AB101"/>
    <mergeCell ref="AC101:AF101"/>
    <mergeCell ref="AG101:AJ101"/>
    <mergeCell ref="AK101:AN101"/>
    <mergeCell ref="AO101:AR101"/>
    <mergeCell ref="C102:X102"/>
    <mergeCell ref="Y102:AF102"/>
    <mergeCell ref="AG102:AJ102"/>
    <mergeCell ref="AK102:AN102"/>
    <mergeCell ref="AO102:AR102"/>
    <mergeCell ref="C97:E97"/>
    <mergeCell ref="F97:AB97"/>
    <mergeCell ref="AC97:AF97"/>
    <mergeCell ref="AG97:AJ97"/>
    <mergeCell ref="AK97:AN97"/>
    <mergeCell ref="AO97:AR97"/>
    <mergeCell ref="C98:E98"/>
    <mergeCell ref="F98:AB98"/>
    <mergeCell ref="AC98:AF98"/>
    <mergeCell ref="AG98:AJ98"/>
    <mergeCell ref="AK98:AN98"/>
    <mergeCell ref="AO98:AR98"/>
    <mergeCell ref="C99:E99"/>
    <mergeCell ref="F99:AB99"/>
    <mergeCell ref="AC99:AF99"/>
    <mergeCell ref="AG99:AJ99"/>
    <mergeCell ref="AK99:AN99"/>
    <mergeCell ref="AO99:AR99"/>
    <mergeCell ref="C94:E94"/>
    <mergeCell ref="F94:AB94"/>
    <mergeCell ref="AC94:AF94"/>
    <mergeCell ref="AG94:AJ94"/>
    <mergeCell ref="AK94:AN94"/>
    <mergeCell ref="AO94:AR94"/>
    <mergeCell ref="C95:E95"/>
    <mergeCell ref="F95:AB95"/>
    <mergeCell ref="AC95:AF95"/>
    <mergeCell ref="AG95:AJ95"/>
    <mergeCell ref="AK95:AN95"/>
    <mergeCell ref="AO95:AR95"/>
    <mergeCell ref="C96:E96"/>
    <mergeCell ref="F96:AB96"/>
    <mergeCell ref="AC96:AF96"/>
    <mergeCell ref="AG96:AJ96"/>
    <mergeCell ref="AK96:AN96"/>
    <mergeCell ref="AO96:AR96"/>
    <mergeCell ref="C89:E89"/>
    <mergeCell ref="F89:U89"/>
    <mergeCell ref="V89:X89"/>
    <mergeCell ref="Y89:AB89"/>
    <mergeCell ref="AC89:AF89"/>
    <mergeCell ref="AG89:AJ89"/>
    <mergeCell ref="AK89:AN89"/>
    <mergeCell ref="AO89:AR89"/>
    <mergeCell ref="C90:X90"/>
    <mergeCell ref="Y90:AN90"/>
    <mergeCell ref="AO90:AR90"/>
    <mergeCell ref="C92:E93"/>
    <mergeCell ref="F92:AB93"/>
    <mergeCell ref="AC92:AF93"/>
    <mergeCell ref="AG92:AJ93"/>
    <mergeCell ref="AK92:AN93"/>
    <mergeCell ref="AO92:AR93"/>
    <mergeCell ref="C86:E86"/>
    <mergeCell ref="F86:U86"/>
    <mergeCell ref="V86:X86"/>
    <mergeCell ref="Y86:AB86"/>
    <mergeCell ref="AC86:AF86"/>
    <mergeCell ref="AG86:AJ86"/>
    <mergeCell ref="AK86:AN86"/>
    <mergeCell ref="AO86:AR86"/>
    <mergeCell ref="C87:E87"/>
    <mergeCell ref="F87:U87"/>
    <mergeCell ref="V87:X87"/>
    <mergeCell ref="Y87:AB87"/>
    <mergeCell ref="AC87:AF87"/>
    <mergeCell ref="AG87:AJ87"/>
    <mergeCell ref="AK87:AN87"/>
    <mergeCell ref="AO87:AR87"/>
    <mergeCell ref="C88:E88"/>
    <mergeCell ref="F88:U88"/>
    <mergeCell ref="V88:X88"/>
    <mergeCell ref="Y88:AB88"/>
    <mergeCell ref="AC88:AF88"/>
    <mergeCell ref="AG88:AJ88"/>
    <mergeCell ref="AK88:AN88"/>
    <mergeCell ref="AO88:AR88"/>
    <mergeCell ref="C83:E83"/>
    <mergeCell ref="F83:U83"/>
    <mergeCell ref="V83:X83"/>
    <mergeCell ref="Y83:AB83"/>
    <mergeCell ref="AC83:AF83"/>
    <mergeCell ref="AG83:AJ83"/>
    <mergeCell ref="AK83:AN83"/>
    <mergeCell ref="AO83:AR83"/>
    <mergeCell ref="C84:E84"/>
    <mergeCell ref="F84:U84"/>
    <mergeCell ref="V84:X84"/>
    <mergeCell ref="Y84:AB84"/>
    <mergeCell ref="AC84:AF84"/>
    <mergeCell ref="AG84:AJ84"/>
    <mergeCell ref="AK84:AN84"/>
    <mergeCell ref="AO84:AR84"/>
    <mergeCell ref="C85:E85"/>
    <mergeCell ref="F85:U85"/>
    <mergeCell ref="V85:X85"/>
    <mergeCell ref="Y85:AB85"/>
    <mergeCell ref="AC85:AF85"/>
    <mergeCell ref="AG85:AJ85"/>
    <mergeCell ref="AK85:AN85"/>
    <mergeCell ref="AO85:AR85"/>
    <mergeCell ref="C80:E81"/>
    <mergeCell ref="F80:U81"/>
    <mergeCell ref="V80:X81"/>
    <mergeCell ref="Y80:AF80"/>
    <mergeCell ref="AG80:AN80"/>
    <mergeCell ref="AO80:AR81"/>
    <mergeCell ref="Y81:AB81"/>
    <mergeCell ref="AC81:AF81"/>
    <mergeCell ref="AG81:AJ81"/>
    <mergeCell ref="AK81:AN81"/>
    <mergeCell ref="C82:E82"/>
    <mergeCell ref="F82:U82"/>
    <mergeCell ref="V82:X82"/>
    <mergeCell ref="Y82:AB82"/>
    <mergeCell ref="AC82:AF82"/>
    <mergeCell ref="AG82:AJ82"/>
    <mergeCell ref="AK82:AN82"/>
    <mergeCell ref="AO82:AR82"/>
    <mergeCell ref="C68:H68"/>
    <mergeCell ref="I68:J68"/>
    <mergeCell ref="K68:Z68"/>
    <mergeCell ref="AA68:AB68"/>
    <mergeCell ref="AC68:AR68"/>
    <mergeCell ref="C70:F70"/>
    <mergeCell ref="G70:AA70"/>
    <mergeCell ref="AB70:AI73"/>
    <mergeCell ref="AJ70:AR73"/>
    <mergeCell ref="C71:F71"/>
    <mergeCell ref="G71:AA71"/>
    <mergeCell ref="C72:F72"/>
    <mergeCell ref="G72:AA72"/>
    <mergeCell ref="C73:AA73"/>
    <mergeCell ref="C75:AR76"/>
    <mergeCell ref="C77:F78"/>
    <mergeCell ref="G77:J78"/>
    <mergeCell ref="K77:N78"/>
    <mergeCell ref="O77:AK78"/>
    <mergeCell ref="AL77:AO78"/>
    <mergeCell ref="AP77:AR78"/>
    <mergeCell ref="C64:H64"/>
    <mergeCell ref="I64:J64"/>
    <mergeCell ref="K64:Z64"/>
    <mergeCell ref="AA64:AB64"/>
    <mergeCell ref="AC64:AR64"/>
    <mergeCell ref="C65:H65"/>
    <mergeCell ref="I65:J65"/>
    <mergeCell ref="K65:Z65"/>
    <mergeCell ref="AA65:AB65"/>
    <mergeCell ref="AC65:AR65"/>
    <mergeCell ref="C66:H66"/>
    <mergeCell ref="I66:J66"/>
    <mergeCell ref="K66:Z66"/>
    <mergeCell ref="AA66:AB66"/>
    <mergeCell ref="AC66:AR66"/>
    <mergeCell ref="C67:H67"/>
    <mergeCell ref="I67:J67"/>
    <mergeCell ref="K67:Z67"/>
    <mergeCell ref="AA67:AB67"/>
    <mergeCell ref="AC67:AR67"/>
    <mergeCell ref="C57:X57"/>
    <mergeCell ref="Y57:AN57"/>
    <mergeCell ref="AO57:AR57"/>
    <mergeCell ref="C59:X61"/>
    <mergeCell ref="Y59:AN59"/>
    <mergeCell ref="AO59:AR59"/>
    <mergeCell ref="Y60:AG60"/>
    <mergeCell ref="AH60:AN60"/>
    <mergeCell ref="AO60:AR60"/>
    <mergeCell ref="A61:B61"/>
    <mergeCell ref="Y61:AN61"/>
    <mergeCell ref="AO61:AR61"/>
    <mergeCell ref="C63:H63"/>
    <mergeCell ref="I63:J63"/>
    <mergeCell ref="K63:Z63"/>
    <mergeCell ref="AA63:AB63"/>
    <mergeCell ref="AC63:AR63"/>
    <mergeCell ref="C55:E55"/>
    <mergeCell ref="F55:R55"/>
    <mergeCell ref="S55:U55"/>
    <mergeCell ref="V55:X55"/>
    <mergeCell ref="Y55:AD55"/>
    <mergeCell ref="AE55:AG55"/>
    <mergeCell ref="AH55:AJ55"/>
    <mergeCell ref="AK55:AN55"/>
    <mergeCell ref="AO55:AR55"/>
    <mergeCell ref="C56:E56"/>
    <mergeCell ref="F56:R56"/>
    <mergeCell ref="S56:U56"/>
    <mergeCell ref="V56:X56"/>
    <mergeCell ref="Y56:AD56"/>
    <mergeCell ref="AE56:AG56"/>
    <mergeCell ref="AH56:AJ56"/>
    <mergeCell ref="AK56:AN56"/>
    <mergeCell ref="AO56:AR56"/>
    <mergeCell ref="C53:E53"/>
    <mergeCell ref="F53:R53"/>
    <mergeCell ref="S53:U53"/>
    <mergeCell ref="V53:X53"/>
    <mergeCell ref="Y53:AD53"/>
    <mergeCell ref="AE53:AG53"/>
    <mergeCell ref="AH53:AJ53"/>
    <mergeCell ref="AK53:AN53"/>
    <mergeCell ref="AO53:AR53"/>
    <mergeCell ref="C54:E54"/>
    <mergeCell ref="F54:R54"/>
    <mergeCell ref="S54:U54"/>
    <mergeCell ref="V54:X54"/>
    <mergeCell ref="Y54:AD54"/>
    <mergeCell ref="AE54:AG54"/>
    <mergeCell ref="AH54:AJ54"/>
    <mergeCell ref="AK54:AN54"/>
    <mergeCell ref="AO54:AR54"/>
    <mergeCell ref="C51:E51"/>
    <mergeCell ref="F51:R51"/>
    <mergeCell ref="S51:U51"/>
    <mergeCell ref="V51:X51"/>
    <mergeCell ref="Y51:AD51"/>
    <mergeCell ref="AE51:AG51"/>
    <mergeCell ref="AH51:AJ51"/>
    <mergeCell ref="AK51:AN51"/>
    <mergeCell ref="AO51:AR51"/>
    <mergeCell ref="C52:E52"/>
    <mergeCell ref="F52:R52"/>
    <mergeCell ref="S52:U52"/>
    <mergeCell ref="V52:X52"/>
    <mergeCell ref="Y52:AD52"/>
    <mergeCell ref="AE52:AG52"/>
    <mergeCell ref="AH52:AJ52"/>
    <mergeCell ref="AK52:AN52"/>
    <mergeCell ref="AO52:AR52"/>
    <mergeCell ref="C49:E49"/>
    <mergeCell ref="F49:R49"/>
    <mergeCell ref="S49:U49"/>
    <mergeCell ref="V49:X49"/>
    <mergeCell ref="Y49:AD49"/>
    <mergeCell ref="AE49:AG49"/>
    <mergeCell ref="AH49:AJ49"/>
    <mergeCell ref="AK49:AN49"/>
    <mergeCell ref="AO49:AR49"/>
    <mergeCell ref="C50:E50"/>
    <mergeCell ref="F50:R50"/>
    <mergeCell ref="S50:U50"/>
    <mergeCell ref="V50:X50"/>
    <mergeCell ref="Y50:AD50"/>
    <mergeCell ref="AE50:AG50"/>
    <mergeCell ref="AH50:AJ50"/>
    <mergeCell ref="AK50:AN50"/>
    <mergeCell ref="AO50:AR50"/>
    <mergeCell ref="C43:E43"/>
    <mergeCell ref="F43:AB43"/>
    <mergeCell ref="AC43:AF43"/>
    <mergeCell ref="AG43:AJ43"/>
    <mergeCell ref="AK43:AN43"/>
    <mergeCell ref="AO43:AR43"/>
    <mergeCell ref="C44:E44"/>
    <mergeCell ref="F44:AB44"/>
    <mergeCell ref="AC44:AF44"/>
    <mergeCell ref="AG44:AJ44"/>
    <mergeCell ref="AK44:AN44"/>
    <mergeCell ref="AO44:AR44"/>
    <mergeCell ref="C45:X45"/>
    <mergeCell ref="Y45:AN45"/>
    <mergeCell ref="AO45:AR45"/>
    <mergeCell ref="C47:E48"/>
    <mergeCell ref="F47:R48"/>
    <mergeCell ref="S47:U48"/>
    <mergeCell ref="V47:X48"/>
    <mergeCell ref="Y47:AD48"/>
    <mergeCell ref="AE47:AG48"/>
    <mergeCell ref="AH47:AJ48"/>
    <mergeCell ref="AK47:AN48"/>
    <mergeCell ref="AO47:AR48"/>
    <mergeCell ref="C40:E40"/>
    <mergeCell ref="F40:AB40"/>
    <mergeCell ref="AC40:AF40"/>
    <mergeCell ref="AG40:AJ40"/>
    <mergeCell ref="AK40:AN40"/>
    <mergeCell ref="AO40:AR40"/>
    <mergeCell ref="C41:E41"/>
    <mergeCell ref="F41:AB41"/>
    <mergeCell ref="AC41:AF41"/>
    <mergeCell ref="AG41:AJ41"/>
    <mergeCell ref="AK41:AN41"/>
    <mergeCell ref="AO41:AR41"/>
    <mergeCell ref="C42:E42"/>
    <mergeCell ref="F42:AB42"/>
    <mergeCell ref="AC42:AF42"/>
    <mergeCell ref="AG42:AJ42"/>
    <mergeCell ref="AK42:AN42"/>
    <mergeCell ref="AO42:AR42"/>
    <mergeCell ref="C37:E37"/>
    <mergeCell ref="F37:AB37"/>
    <mergeCell ref="AC37:AF37"/>
    <mergeCell ref="AG37:AJ37"/>
    <mergeCell ref="AK37:AN37"/>
    <mergeCell ref="AO37:AR37"/>
    <mergeCell ref="C38:E38"/>
    <mergeCell ref="F38:AB38"/>
    <mergeCell ref="AC38:AF38"/>
    <mergeCell ref="AG38:AJ38"/>
    <mergeCell ref="AK38:AN38"/>
    <mergeCell ref="AO38:AR38"/>
    <mergeCell ref="C39:E39"/>
    <mergeCell ref="F39:AB39"/>
    <mergeCell ref="AC39:AF39"/>
    <mergeCell ref="AG39:AJ39"/>
    <mergeCell ref="AK39:AN39"/>
    <mergeCell ref="AO39:AR39"/>
    <mergeCell ref="C29:X29"/>
    <mergeCell ref="Y29:AF29"/>
    <mergeCell ref="AG29:AJ29"/>
    <mergeCell ref="AK29:AN29"/>
    <mergeCell ref="AO29:AR29"/>
    <mergeCell ref="C30:X30"/>
    <mergeCell ref="Y30:AN30"/>
    <mergeCell ref="AO30:AR30"/>
    <mergeCell ref="C32:X32"/>
    <mergeCell ref="Y32:AN32"/>
    <mergeCell ref="AO32:AR32"/>
    <mergeCell ref="C33:P33"/>
    <mergeCell ref="Q33:U33"/>
    <mergeCell ref="V33:X33"/>
    <mergeCell ref="Y33:AN33"/>
    <mergeCell ref="AO33:AR33"/>
    <mergeCell ref="C35:E36"/>
    <mergeCell ref="F35:AB36"/>
    <mergeCell ref="AC35:AF36"/>
    <mergeCell ref="AG35:AJ36"/>
    <mergeCell ref="AK35:AN36"/>
    <mergeCell ref="AO35:AR36"/>
    <mergeCell ref="C26:E26"/>
    <mergeCell ref="F26:AB26"/>
    <mergeCell ref="AC26:AF26"/>
    <mergeCell ref="AG26:AJ26"/>
    <mergeCell ref="AK26:AN26"/>
    <mergeCell ref="AO26:AR26"/>
    <mergeCell ref="C27:E27"/>
    <mergeCell ref="F27:AB27"/>
    <mergeCell ref="AC27:AF27"/>
    <mergeCell ref="AG27:AJ27"/>
    <mergeCell ref="AK27:AN27"/>
    <mergeCell ref="AO27:AR27"/>
    <mergeCell ref="C28:E28"/>
    <mergeCell ref="F28:AB28"/>
    <mergeCell ref="AC28:AF28"/>
    <mergeCell ref="AG28:AJ28"/>
    <mergeCell ref="AK28:AN28"/>
    <mergeCell ref="AO28:AR28"/>
    <mergeCell ref="C23:E23"/>
    <mergeCell ref="F23:AB23"/>
    <mergeCell ref="AC23:AF23"/>
    <mergeCell ref="AG23:AJ23"/>
    <mergeCell ref="AK23:AN23"/>
    <mergeCell ref="AO23:AR23"/>
    <mergeCell ref="C24:E24"/>
    <mergeCell ref="F24:AB24"/>
    <mergeCell ref="AC24:AF24"/>
    <mergeCell ref="AG24:AJ24"/>
    <mergeCell ref="AK24:AN24"/>
    <mergeCell ref="AO24:AR24"/>
    <mergeCell ref="C25:E25"/>
    <mergeCell ref="F25:AB25"/>
    <mergeCell ref="AC25:AF25"/>
    <mergeCell ref="AG25:AJ25"/>
    <mergeCell ref="AK25:AN25"/>
    <mergeCell ref="AO25:AR25"/>
    <mergeCell ref="C19:E20"/>
    <mergeCell ref="F19:AB20"/>
    <mergeCell ref="AC19:AF20"/>
    <mergeCell ref="AG19:AJ20"/>
    <mergeCell ref="AK19:AN20"/>
    <mergeCell ref="AO19:AR20"/>
    <mergeCell ref="C21:E21"/>
    <mergeCell ref="F21:AB21"/>
    <mergeCell ref="AC21:AF21"/>
    <mergeCell ref="AG21:AJ21"/>
    <mergeCell ref="AK21:AN21"/>
    <mergeCell ref="AO21:AR21"/>
    <mergeCell ref="C22:E22"/>
    <mergeCell ref="F22:AB22"/>
    <mergeCell ref="AC22:AF22"/>
    <mergeCell ref="AG22:AJ22"/>
    <mergeCell ref="AK22:AN22"/>
    <mergeCell ref="AO22:AR22"/>
    <mergeCell ref="C15:E15"/>
    <mergeCell ref="F15:U15"/>
    <mergeCell ref="V15:X15"/>
    <mergeCell ref="Y15:AB15"/>
    <mergeCell ref="AC15:AF15"/>
    <mergeCell ref="AG15:AJ15"/>
    <mergeCell ref="AK15:AN15"/>
    <mergeCell ref="AO15:AR15"/>
    <mergeCell ref="C16:E16"/>
    <mergeCell ref="F16:U16"/>
    <mergeCell ref="V16:X16"/>
    <mergeCell ref="Y16:AB16"/>
    <mergeCell ref="AC16:AF16"/>
    <mergeCell ref="AG16:AJ16"/>
    <mergeCell ref="AK16:AN16"/>
    <mergeCell ref="AO16:AR16"/>
    <mergeCell ref="C17:X17"/>
    <mergeCell ref="Y17:AN17"/>
    <mergeCell ref="AO17:AR17"/>
    <mergeCell ref="C12:E12"/>
    <mergeCell ref="F12:U12"/>
    <mergeCell ref="V12:X12"/>
    <mergeCell ref="Y12:AB12"/>
    <mergeCell ref="AC12:AF12"/>
    <mergeCell ref="AG12:AJ12"/>
    <mergeCell ref="AK12:AN12"/>
    <mergeCell ref="AO12:AR12"/>
    <mergeCell ref="C13:E13"/>
    <mergeCell ref="F13:U13"/>
    <mergeCell ref="V13:X13"/>
    <mergeCell ref="Y13:AB13"/>
    <mergeCell ref="AC13:AF13"/>
    <mergeCell ref="AG13:AJ13"/>
    <mergeCell ref="AK13:AN13"/>
    <mergeCell ref="AO13:AR13"/>
    <mergeCell ref="C14:E14"/>
    <mergeCell ref="F14:U14"/>
    <mergeCell ref="V14:X14"/>
    <mergeCell ref="Y14:AB14"/>
    <mergeCell ref="AC14:AF14"/>
    <mergeCell ref="AG14:AJ14"/>
    <mergeCell ref="AK14:AN14"/>
    <mergeCell ref="AO14:AR14"/>
    <mergeCell ref="C9:E9"/>
    <mergeCell ref="F9:U9"/>
    <mergeCell ref="V9:X9"/>
    <mergeCell ref="Y9:AB9"/>
    <mergeCell ref="AC9:AF9"/>
    <mergeCell ref="AG9:AJ9"/>
    <mergeCell ref="AK9:AN9"/>
    <mergeCell ref="AO9:AR9"/>
    <mergeCell ref="C10:E10"/>
    <mergeCell ref="F10:U10"/>
    <mergeCell ref="V10:X10"/>
    <mergeCell ref="Y10:AB10"/>
    <mergeCell ref="AC10:AF10"/>
    <mergeCell ref="AG10:AJ10"/>
    <mergeCell ref="AK10:AN10"/>
    <mergeCell ref="AO10:AR10"/>
    <mergeCell ref="C11:E11"/>
    <mergeCell ref="F11:U11"/>
    <mergeCell ref="V11:X11"/>
    <mergeCell ref="Y11:AB11"/>
    <mergeCell ref="AC11:AF11"/>
    <mergeCell ref="AG11:AJ11"/>
    <mergeCell ref="AK11:AN11"/>
    <mergeCell ref="AO11:AR11"/>
    <mergeCell ref="C2:AR3"/>
    <mergeCell ref="C4:F5"/>
    <mergeCell ref="G4:J5"/>
    <mergeCell ref="K4:N5"/>
    <mergeCell ref="O4:AK5"/>
    <mergeCell ref="AL4:AO5"/>
    <mergeCell ref="AP4:AR5"/>
    <mergeCell ref="C7:E8"/>
    <mergeCell ref="F7:U8"/>
    <mergeCell ref="V7:X8"/>
    <mergeCell ref="Y7:AF7"/>
    <mergeCell ref="AG7:AN7"/>
    <mergeCell ref="AO7:AR8"/>
    <mergeCell ref="Y8:AB8"/>
    <mergeCell ref="AC8:AF8"/>
    <mergeCell ref="AG8:AJ8"/>
    <mergeCell ref="AK8:AN8"/>
  </mergeCells>
  <printOptions horizontalCentered="1" verticalCentered="1"/>
  <pageMargins left="0.78740157480314965" right="0.59055118110236227" top="0.78740157480314965" bottom="0.39370078740157483" header="0" footer="0"/>
  <pageSetup paperSize="9" scale="51" orientation="portrait" horizontalDpi="4294967294" verticalDpi="300" r:id="rId1"/>
  <headerFooter alignWithMargins="0"/>
  <rowBreaks count="2" manualBreakCount="2">
    <brk id="73" min="2" max="43" man="1"/>
    <brk id="146" min="2" max="4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2:AR73"/>
  <sheetViews>
    <sheetView showGridLines="0" showZeros="0" view="pageBreakPreview" zoomScale="60" zoomScaleNormal="67" zoomScaleSheetLayoutView="67" workbookViewId="0">
      <selection activeCell="K65" sqref="K65:Z66"/>
    </sheetView>
  </sheetViews>
  <sheetFormatPr defaultColWidth="3.7109375" defaultRowHeight="18" customHeight="1"/>
  <cols>
    <col min="1" max="2" width="9.140625" style="7" customWidth="1"/>
    <col min="3" max="5" width="5.42578125" style="7" customWidth="1"/>
    <col min="6" max="20" width="3.7109375" style="7" customWidth="1"/>
    <col min="21" max="21" width="3.42578125" style="7" customWidth="1"/>
    <col min="22" max="29" width="3.7109375" style="7" customWidth="1"/>
    <col min="30" max="30" width="3.5703125" style="7" customWidth="1"/>
    <col min="31" max="31" width="4.7109375" style="7" customWidth="1"/>
    <col min="32" max="32" width="3.85546875" style="7" customWidth="1"/>
    <col min="33" max="33" width="4.28515625" style="7" customWidth="1"/>
    <col min="34" max="36" width="3.85546875" style="7" customWidth="1"/>
    <col min="37" max="40" width="3.42578125" style="7" customWidth="1"/>
    <col min="41" max="16384" width="3.7109375" style="7"/>
  </cols>
  <sheetData>
    <row r="2" spans="3:44" ht="18" customHeight="1">
      <c r="C2" s="850" t="s">
        <v>64</v>
      </c>
      <c r="D2" s="851"/>
      <c r="E2" s="851"/>
      <c r="F2" s="851"/>
      <c r="G2" s="851"/>
      <c r="H2" s="851"/>
      <c r="I2" s="851"/>
      <c r="J2" s="851"/>
      <c r="K2" s="851"/>
      <c r="L2" s="851"/>
      <c r="M2" s="851"/>
      <c r="N2" s="851"/>
      <c r="O2" s="851"/>
      <c r="P2" s="851"/>
      <c r="Q2" s="851"/>
      <c r="R2" s="851"/>
      <c r="S2" s="851"/>
      <c r="T2" s="851"/>
      <c r="U2" s="851"/>
      <c r="V2" s="851"/>
      <c r="W2" s="851"/>
      <c r="X2" s="851"/>
      <c r="Y2" s="851"/>
      <c r="Z2" s="851"/>
      <c r="AA2" s="851"/>
      <c r="AB2" s="851"/>
      <c r="AC2" s="851"/>
      <c r="AD2" s="851"/>
      <c r="AE2" s="851"/>
      <c r="AF2" s="851"/>
      <c r="AG2" s="851"/>
      <c r="AH2" s="851"/>
      <c r="AI2" s="851"/>
      <c r="AJ2" s="851"/>
      <c r="AK2" s="851"/>
      <c r="AL2" s="851"/>
      <c r="AM2" s="851"/>
      <c r="AN2" s="851"/>
      <c r="AO2" s="851"/>
      <c r="AP2" s="851"/>
      <c r="AQ2" s="851"/>
      <c r="AR2" s="852"/>
    </row>
    <row r="3" spans="3:44" ht="18" customHeight="1">
      <c r="C3" s="853"/>
      <c r="D3" s="854"/>
      <c r="E3" s="854"/>
      <c r="F3" s="854"/>
      <c r="G3" s="854"/>
      <c r="H3" s="854"/>
      <c r="I3" s="854"/>
      <c r="J3" s="854"/>
      <c r="K3" s="854"/>
      <c r="L3" s="854"/>
      <c r="M3" s="854"/>
      <c r="N3" s="854"/>
      <c r="O3" s="854"/>
      <c r="P3" s="854"/>
      <c r="Q3" s="854"/>
      <c r="R3" s="854"/>
      <c r="S3" s="854"/>
      <c r="T3" s="854"/>
      <c r="U3" s="854"/>
      <c r="V3" s="854"/>
      <c r="W3" s="854"/>
      <c r="X3" s="854"/>
      <c r="Y3" s="854"/>
      <c r="Z3" s="854"/>
      <c r="AA3" s="854"/>
      <c r="AB3" s="854"/>
      <c r="AC3" s="854"/>
      <c r="AD3" s="854"/>
      <c r="AE3" s="854"/>
      <c r="AF3" s="854"/>
      <c r="AG3" s="854"/>
      <c r="AH3" s="854"/>
      <c r="AI3" s="854"/>
      <c r="AJ3" s="854"/>
      <c r="AK3" s="854"/>
      <c r="AL3" s="854"/>
      <c r="AM3" s="854"/>
      <c r="AN3" s="854"/>
      <c r="AO3" s="854"/>
      <c r="AP3" s="854"/>
      <c r="AQ3" s="854"/>
      <c r="AR3" s="855"/>
    </row>
    <row r="4" spans="3:44" ht="18" customHeight="1">
      <c r="C4" s="856" t="s">
        <v>65</v>
      </c>
      <c r="D4" s="857"/>
      <c r="E4" s="857"/>
      <c r="F4" s="857"/>
      <c r="G4" s="860" t="s">
        <v>491</v>
      </c>
      <c r="H4" s="860"/>
      <c r="I4" s="860"/>
      <c r="J4" s="861"/>
      <c r="K4" s="864" t="s">
        <v>66</v>
      </c>
      <c r="L4" s="865"/>
      <c r="M4" s="865"/>
      <c r="N4" s="865"/>
      <c r="O4" s="522" t="s">
        <v>492</v>
      </c>
      <c r="P4" s="523"/>
      <c r="Q4" s="523"/>
      <c r="R4" s="523"/>
      <c r="S4" s="523"/>
      <c r="T4" s="523"/>
      <c r="U4" s="523"/>
      <c r="V4" s="523"/>
      <c r="W4" s="523"/>
      <c r="X4" s="523"/>
      <c r="Y4" s="523"/>
      <c r="Z4" s="523"/>
      <c r="AA4" s="523"/>
      <c r="AB4" s="523"/>
      <c r="AC4" s="523"/>
      <c r="AD4" s="523"/>
      <c r="AE4" s="523"/>
      <c r="AF4" s="523"/>
      <c r="AG4" s="523"/>
      <c r="AH4" s="523"/>
      <c r="AI4" s="523"/>
      <c r="AJ4" s="523"/>
      <c r="AK4" s="523"/>
      <c r="AL4" s="864" t="s">
        <v>67</v>
      </c>
      <c r="AM4" s="865"/>
      <c r="AN4" s="865"/>
      <c r="AO4" s="865"/>
      <c r="AP4" s="843" t="s">
        <v>194</v>
      </c>
      <c r="AQ4" s="843"/>
      <c r="AR4" s="844"/>
    </row>
    <row r="5" spans="3:44" ht="18" customHeight="1">
      <c r="C5" s="858"/>
      <c r="D5" s="859"/>
      <c r="E5" s="859"/>
      <c r="F5" s="859"/>
      <c r="G5" s="862"/>
      <c r="H5" s="862"/>
      <c r="I5" s="862"/>
      <c r="J5" s="863"/>
      <c r="K5" s="866"/>
      <c r="L5" s="867"/>
      <c r="M5" s="867"/>
      <c r="N5" s="867"/>
      <c r="O5" s="524"/>
      <c r="P5" s="525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  <c r="AC5" s="525"/>
      <c r="AD5" s="525"/>
      <c r="AE5" s="525"/>
      <c r="AF5" s="525"/>
      <c r="AG5" s="525"/>
      <c r="AH5" s="525"/>
      <c r="AI5" s="525"/>
      <c r="AJ5" s="525"/>
      <c r="AK5" s="525"/>
      <c r="AL5" s="866"/>
      <c r="AM5" s="867"/>
      <c r="AN5" s="867"/>
      <c r="AO5" s="867"/>
      <c r="AP5" s="845"/>
      <c r="AQ5" s="845"/>
      <c r="AR5" s="846"/>
    </row>
    <row r="7" spans="3:44" ht="18" customHeight="1">
      <c r="C7" s="794" t="s">
        <v>43</v>
      </c>
      <c r="D7" s="774"/>
      <c r="E7" s="775"/>
      <c r="F7" s="773" t="s">
        <v>68</v>
      </c>
      <c r="G7" s="774"/>
      <c r="H7" s="774"/>
      <c r="I7" s="774"/>
      <c r="J7" s="774"/>
      <c r="K7" s="774"/>
      <c r="L7" s="774"/>
      <c r="M7" s="774"/>
      <c r="N7" s="774"/>
      <c r="O7" s="774"/>
      <c r="P7" s="774"/>
      <c r="Q7" s="774"/>
      <c r="R7" s="774"/>
      <c r="S7" s="774"/>
      <c r="T7" s="774"/>
      <c r="U7" s="775"/>
      <c r="V7" s="773" t="s">
        <v>249</v>
      </c>
      <c r="W7" s="774"/>
      <c r="X7" s="775"/>
      <c r="Y7" s="847" t="s">
        <v>69</v>
      </c>
      <c r="Z7" s="848"/>
      <c r="AA7" s="848"/>
      <c r="AB7" s="848"/>
      <c r="AC7" s="848"/>
      <c r="AD7" s="848"/>
      <c r="AE7" s="848"/>
      <c r="AF7" s="849"/>
      <c r="AG7" s="847" t="s">
        <v>70</v>
      </c>
      <c r="AH7" s="848"/>
      <c r="AI7" s="848"/>
      <c r="AJ7" s="848"/>
      <c r="AK7" s="848"/>
      <c r="AL7" s="848"/>
      <c r="AM7" s="848"/>
      <c r="AN7" s="849"/>
      <c r="AO7" s="773" t="s">
        <v>71</v>
      </c>
      <c r="AP7" s="774"/>
      <c r="AQ7" s="774"/>
      <c r="AR7" s="779"/>
    </row>
    <row r="8" spans="3:44" ht="18" customHeight="1">
      <c r="C8" s="795"/>
      <c r="D8" s="777"/>
      <c r="E8" s="778"/>
      <c r="F8" s="776"/>
      <c r="G8" s="777"/>
      <c r="H8" s="777"/>
      <c r="I8" s="777"/>
      <c r="J8" s="777"/>
      <c r="K8" s="777"/>
      <c r="L8" s="777"/>
      <c r="M8" s="777"/>
      <c r="N8" s="777"/>
      <c r="O8" s="777"/>
      <c r="P8" s="777"/>
      <c r="Q8" s="777"/>
      <c r="R8" s="777"/>
      <c r="S8" s="777"/>
      <c r="T8" s="777"/>
      <c r="U8" s="778"/>
      <c r="V8" s="776"/>
      <c r="W8" s="777"/>
      <c r="X8" s="778"/>
      <c r="Y8" s="834" t="s">
        <v>72</v>
      </c>
      <c r="Z8" s="835"/>
      <c r="AA8" s="835"/>
      <c r="AB8" s="836"/>
      <c r="AC8" s="834" t="s">
        <v>73</v>
      </c>
      <c r="AD8" s="835"/>
      <c r="AE8" s="835"/>
      <c r="AF8" s="836"/>
      <c r="AG8" s="834" t="s">
        <v>72</v>
      </c>
      <c r="AH8" s="835"/>
      <c r="AI8" s="835"/>
      <c r="AJ8" s="836"/>
      <c r="AK8" s="834" t="s">
        <v>73</v>
      </c>
      <c r="AL8" s="835"/>
      <c r="AM8" s="835"/>
      <c r="AN8" s="836"/>
      <c r="AO8" s="776"/>
      <c r="AP8" s="777"/>
      <c r="AQ8" s="777"/>
      <c r="AR8" s="780"/>
    </row>
    <row r="9" spans="3:44" ht="18" customHeight="1">
      <c r="C9" s="781"/>
      <c r="D9" s="782"/>
      <c r="E9" s="783"/>
      <c r="F9" s="493" t="s">
        <v>493</v>
      </c>
      <c r="G9" s="493"/>
      <c r="H9" s="493"/>
      <c r="I9" s="493"/>
      <c r="J9" s="493"/>
      <c r="K9" s="493"/>
      <c r="L9" s="493"/>
      <c r="M9" s="493"/>
      <c r="N9" s="493"/>
      <c r="O9" s="493"/>
      <c r="P9" s="493"/>
      <c r="Q9" s="493"/>
      <c r="R9" s="493"/>
      <c r="S9" s="493"/>
      <c r="T9" s="493"/>
      <c r="U9" s="493"/>
      <c r="V9" s="837">
        <v>1</v>
      </c>
      <c r="W9" s="838"/>
      <c r="X9" s="839"/>
      <c r="Y9" s="837">
        <v>1</v>
      </c>
      <c r="Z9" s="838"/>
      <c r="AA9" s="838"/>
      <c r="AB9" s="839"/>
      <c r="AC9" s="868">
        <f>1-Y9</f>
        <v>0</v>
      </c>
      <c r="AD9" s="869"/>
      <c r="AE9" s="869"/>
      <c r="AF9" s="870"/>
      <c r="AG9" s="491">
        <v>800</v>
      </c>
      <c r="AH9" s="491"/>
      <c r="AI9" s="491"/>
      <c r="AJ9" s="491"/>
      <c r="AK9" s="491"/>
      <c r="AL9" s="491"/>
      <c r="AM9" s="491"/>
      <c r="AN9" s="491"/>
      <c r="AO9" s="491">
        <f>ROUND(V9*((Y9*AG9)+(AC9*AK9)),2)</f>
        <v>800</v>
      </c>
      <c r="AP9" s="491"/>
      <c r="AQ9" s="491"/>
      <c r="AR9" s="492"/>
    </row>
    <row r="10" spans="3:44" ht="18" customHeight="1">
      <c r="C10" s="758"/>
      <c r="D10" s="759"/>
      <c r="E10" s="760"/>
      <c r="F10" s="493"/>
      <c r="G10" s="493"/>
      <c r="H10" s="493"/>
      <c r="I10" s="493"/>
      <c r="J10" s="493"/>
      <c r="K10" s="493"/>
      <c r="L10" s="493"/>
      <c r="M10" s="493"/>
      <c r="N10" s="493"/>
      <c r="O10" s="493"/>
      <c r="P10" s="493"/>
      <c r="Q10" s="493"/>
      <c r="R10" s="493"/>
      <c r="S10" s="493"/>
      <c r="T10" s="493"/>
      <c r="U10" s="493"/>
      <c r="V10" s="466"/>
      <c r="W10" s="467"/>
      <c r="X10" s="468"/>
      <c r="Y10" s="466"/>
      <c r="Z10" s="467"/>
      <c r="AA10" s="467"/>
      <c r="AB10" s="468"/>
      <c r="AC10" s="828"/>
      <c r="AD10" s="829"/>
      <c r="AE10" s="829"/>
      <c r="AF10" s="830"/>
      <c r="AG10" s="491"/>
      <c r="AH10" s="491"/>
      <c r="AI10" s="491"/>
      <c r="AJ10" s="491"/>
      <c r="AK10" s="491"/>
      <c r="AL10" s="491"/>
      <c r="AM10" s="491"/>
      <c r="AN10" s="491"/>
      <c r="AO10" s="491"/>
      <c r="AP10" s="491"/>
      <c r="AQ10" s="491"/>
      <c r="AR10" s="492"/>
    </row>
    <row r="11" spans="3:44" ht="18" customHeight="1">
      <c r="C11" s="758"/>
      <c r="D11" s="759"/>
      <c r="E11" s="760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3"/>
      <c r="Q11" s="493"/>
      <c r="R11" s="493"/>
      <c r="S11" s="493"/>
      <c r="T11" s="493"/>
      <c r="U11" s="493"/>
      <c r="V11" s="466"/>
      <c r="W11" s="467"/>
      <c r="X11" s="468"/>
      <c r="Y11" s="466"/>
      <c r="Z11" s="467"/>
      <c r="AA11" s="467"/>
      <c r="AB11" s="468"/>
      <c r="AC11" s="828"/>
      <c r="AD11" s="829"/>
      <c r="AE11" s="829"/>
      <c r="AF11" s="830"/>
      <c r="AG11" s="491"/>
      <c r="AH11" s="491"/>
      <c r="AI11" s="491"/>
      <c r="AJ11" s="491"/>
      <c r="AK11" s="491"/>
      <c r="AL11" s="491"/>
      <c r="AM11" s="491"/>
      <c r="AN11" s="491"/>
      <c r="AO11" s="491"/>
      <c r="AP11" s="491"/>
      <c r="AQ11" s="491"/>
      <c r="AR11" s="492"/>
    </row>
    <row r="12" spans="3:44" ht="18" customHeight="1">
      <c r="C12" s="758"/>
      <c r="D12" s="759"/>
      <c r="E12" s="760"/>
      <c r="F12" s="493"/>
      <c r="G12" s="493"/>
      <c r="H12" s="493"/>
      <c r="I12" s="493"/>
      <c r="J12" s="493"/>
      <c r="K12" s="493"/>
      <c r="L12" s="493"/>
      <c r="M12" s="493"/>
      <c r="N12" s="493"/>
      <c r="O12" s="493"/>
      <c r="P12" s="493"/>
      <c r="Q12" s="493"/>
      <c r="R12" s="493"/>
      <c r="S12" s="493"/>
      <c r="T12" s="493"/>
      <c r="U12" s="493"/>
      <c r="V12" s="466"/>
      <c r="W12" s="467"/>
      <c r="X12" s="468"/>
      <c r="Y12" s="466"/>
      <c r="Z12" s="467"/>
      <c r="AA12" s="467"/>
      <c r="AB12" s="468"/>
      <c r="AC12" s="828"/>
      <c r="AD12" s="829"/>
      <c r="AE12" s="829"/>
      <c r="AF12" s="830"/>
      <c r="AG12" s="491"/>
      <c r="AH12" s="491"/>
      <c r="AI12" s="491"/>
      <c r="AJ12" s="491"/>
      <c r="AK12" s="491"/>
      <c r="AL12" s="491"/>
      <c r="AM12" s="491"/>
      <c r="AN12" s="491"/>
      <c r="AO12" s="491"/>
      <c r="AP12" s="491"/>
      <c r="AQ12" s="491"/>
      <c r="AR12" s="492"/>
    </row>
    <row r="13" spans="3:44" ht="18" customHeight="1">
      <c r="C13" s="758"/>
      <c r="D13" s="759"/>
      <c r="E13" s="760"/>
      <c r="F13" s="493"/>
      <c r="G13" s="493"/>
      <c r="H13" s="493"/>
      <c r="I13" s="493"/>
      <c r="J13" s="493"/>
      <c r="K13" s="493"/>
      <c r="L13" s="493"/>
      <c r="M13" s="493"/>
      <c r="N13" s="493"/>
      <c r="O13" s="493"/>
      <c r="P13" s="493"/>
      <c r="Q13" s="493"/>
      <c r="R13" s="493"/>
      <c r="S13" s="493"/>
      <c r="T13" s="493"/>
      <c r="U13" s="493"/>
      <c r="V13" s="466"/>
      <c r="W13" s="467"/>
      <c r="X13" s="468"/>
      <c r="Y13" s="466"/>
      <c r="Z13" s="467"/>
      <c r="AA13" s="467"/>
      <c r="AB13" s="468"/>
      <c r="AC13" s="828"/>
      <c r="AD13" s="829"/>
      <c r="AE13" s="829"/>
      <c r="AF13" s="830"/>
      <c r="AG13" s="491"/>
      <c r="AH13" s="491"/>
      <c r="AI13" s="491"/>
      <c r="AJ13" s="491"/>
      <c r="AK13" s="491"/>
      <c r="AL13" s="491"/>
      <c r="AM13" s="491"/>
      <c r="AN13" s="491"/>
      <c r="AO13" s="491"/>
      <c r="AP13" s="491"/>
      <c r="AQ13" s="491"/>
      <c r="AR13" s="492"/>
    </row>
    <row r="14" spans="3:44" ht="18" customHeight="1">
      <c r="C14" s="758"/>
      <c r="D14" s="759"/>
      <c r="E14" s="760"/>
      <c r="F14" s="493"/>
      <c r="G14" s="493"/>
      <c r="H14" s="493"/>
      <c r="I14" s="493"/>
      <c r="J14" s="493"/>
      <c r="K14" s="493"/>
      <c r="L14" s="493"/>
      <c r="M14" s="493"/>
      <c r="N14" s="493"/>
      <c r="O14" s="493"/>
      <c r="P14" s="493"/>
      <c r="Q14" s="493"/>
      <c r="R14" s="493"/>
      <c r="S14" s="493"/>
      <c r="T14" s="493"/>
      <c r="U14" s="493"/>
      <c r="V14" s="466"/>
      <c r="W14" s="467"/>
      <c r="X14" s="468"/>
      <c r="Y14" s="466"/>
      <c r="Z14" s="467"/>
      <c r="AA14" s="467"/>
      <c r="AB14" s="468"/>
      <c r="AC14" s="828"/>
      <c r="AD14" s="829"/>
      <c r="AE14" s="829"/>
      <c r="AF14" s="830"/>
      <c r="AG14" s="491"/>
      <c r="AH14" s="491"/>
      <c r="AI14" s="491"/>
      <c r="AJ14" s="491"/>
      <c r="AK14" s="491"/>
      <c r="AL14" s="491"/>
      <c r="AM14" s="491"/>
      <c r="AN14" s="491"/>
      <c r="AO14" s="491"/>
      <c r="AP14" s="491"/>
      <c r="AQ14" s="491"/>
      <c r="AR14" s="492"/>
    </row>
    <row r="15" spans="3:44" ht="18" customHeight="1">
      <c r="C15" s="758"/>
      <c r="D15" s="759"/>
      <c r="E15" s="760"/>
      <c r="F15" s="796"/>
      <c r="G15" s="797"/>
      <c r="H15" s="797"/>
      <c r="I15" s="797"/>
      <c r="J15" s="797"/>
      <c r="K15" s="797"/>
      <c r="L15" s="797"/>
      <c r="M15" s="797"/>
      <c r="N15" s="797"/>
      <c r="O15" s="797"/>
      <c r="P15" s="797"/>
      <c r="Q15" s="797"/>
      <c r="R15" s="797"/>
      <c r="S15" s="797"/>
      <c r="T15" s="797"/>
      <c r="U15" s="798"/>
      <c r="V15" s="466"/>
      <c r="W15" s="467"/>
      <c r="X15" s="468"/>
      <c r="Y15" s="466"/>
      <c r="Z15" s="467"/>
      <c r="AA15" s="467"/>
      <c r="AB15" s="468"/>
      <c r="AC15" s="828"/>
      <c r="AD15" s="829"/>
      <c r="AE15" s="829"/>
      <c r="AF15" s="830"/>
      <c r="AG15" s="466"/>
      <c r="AH15" s="467"/>
      <c r="AI15" s="467"/>
      <c r="AJ15" s="468"/>
      <c r="AK15" s="466"/>
      <c r="AL15" s="467"/>
      <c r="AM15" s="467"/>
      <c r="AN15" s="468"/>
      <c r="AO15" s="466"/>
      <c r="AP15" s="467"/>
      <c r="AQ15" s="467"/>
      <c r="AR15" s="823"/>
    </row>
    <row r="16" spans="3:44" ht="18" customHeight="1">
      <c r="C16" s="758"/>
      <c r="D16" s="759"/>
      <c r="E16" s="760"/>
      <c r="F16" s="796"/>
      <c r="G16" s="797"/>
      <c r="H16" s="797"/>
      <c r="I16" s="797"/>
      <c r="J16" s="797"/>
      <c r="K16" s="797"/>
      <c r="L16" s="797"/>
      <c r="M16" s="797"/>
      <c r="N16" s="797"/>
      <c r="O16" s="797"/>
      <c r="P16" s="797"/>
      <c r="Q16" s="797"/>
      <c r="R16" s="797"/>
      <c r="S16" s="797"/>
      <c r="T16" s="797"/>
      <c r="U16" s="798"/>
      <c r="V16" s="466"/>
      <c r="W16" s="467"/>
      <c r="X16" s="468"/>
      <c r="Y16" s="466"/>
      <c r="Z16" s="467"/>
      <c r="AA16" s="467"/>
      <c r="AB16" s="468"/>
      <c r="AC16" s="828"/>
      <c r="AD16" s="829"/>
      <c r="AE16" s="829"/>
      <c r="AF16" s="830"/>
      <c r="AG16" s="466"/>
      <c r="AH16" s="467"/>
      <c r="AI16" s="467"/>
      <c r="AJ16" s="468"/>
      <c r="AK16" s="466"/>
      <c r="AL16" s="467"/>
      <c r="AM16" s="467"/>
      <c r="AN16" s="468"/>
      <c r="AO16" s="466"/>
      <c r="AP16" s="467"/>
      <c r="AQ16" s="467"/>
      <c r="AR16" s="823"/>
    </row>
    <row r="17" spans="3:44" ht="18" customHeight="1">
      <c r="C17" s="743"/>
      <c r="D17" s="744"/>
      <c r="E17" s="744"/>
      <c r="F17" s="744"/>
      <c r="G17" s="744"/>
      <c r="H17" s="744"/>
      <c r="I17" s="744"/>
      <c r="J17" s="744"/>
      <c r="K17" s="744"/>
      <c r="L17" s="744"/>
      <c r="M17" s="744"/>
      <c r="N17" s="744"/>
      <c r="O17" s="744"/>
      <c r="P17" s="744"/>
      <c r="Q17" s="744"/>
      <c r="R17" s="744"/>
      <c r="S17" s="744"/>
      <c r="T17" s="744"/>
      <c r="U17" s="744"/>
      <c r="V17" s="744"/>
      <c r="W17" s="744"/>
      <c r="X17" s="824"/>
      <c r="Y17" s="825" t="s">
        <v>74</v>
      </c>
      <c r="Z17" s="826"/>
      <c r="AA17" s="826"/>
      <c r="AB17" s="826"/>
      <c r="AC17" s="826"/>
      <c r="AD17" s="826"/>
      <c r="AE17" s="826"/>
      <c r="AF17" s="826"/>
      <c r="AG17" s="826"/>
      <c r="AH17" s="826"/>
      <c r="AI17" s="826"/>
      <c r="AJ17" s="826"/>
      <c r="AK17" s="826"/>
      <c r="AL17" s="826"/>
      <c r="AM17" s="826"/>
      <c r="AN17" s="827"/>
      <c r="AO17" s="477">
        <f>SUM(AO9:AR16)</f>
        <v>800</v>
      </c>
      <c r="AP17" s="746"/>
      <c r="AQ17" s="746"/>
      <c r="AR17" s="747"/>
    </row>
    <row r="19" spans="3:44" ht="18" customHeight="1">
      <c r="C19" s="794" t="s">
        <v>43</v>
      </c>
      <c r="D19" s="774"/>
      <c r="E19" s="775"/>
      <c r="F19" s="773" t="s">
        <v>75</v>
      </c>
      <c r="G19" s="774"/>
      <c r="H19" s="774"/>
      <c r="I19" s="774"/>
      <c r="J19" s="774"/>
      <c r="K19" s="774"/>
      <c r="L19" s="774"/>
      <c r="M19" s="774"/>
      <c r="N19" s="774"/>
      <c r="O19" s="774"/>
      <c r="P19" s="774"/>
      <c r="Q19" s="774"/>
      <c r="R19" s="774"/>
      <c r="S19" s="774"/>
      <c r="T19" s="774"/>
      <c r="U19" s="774"/>
      <c r="V19" s="774"/>
      <c r="W19" s="774"/>
      <c r="X19" s="774"/>
      <c r="Y19" s="774"/>
      <c r="Z19" s="774"/>
      <c r="AA19" s="774"/>
      <c r="AB19" s="775"/>
      <c r="AC19" s="773" t="s">
        <v>76</v>
      </c>
      <c r="AD19" s="774"/>
      <c r="AE19" s="774"/>
      <c r="AF19" s="775"/>
      <c r="AG19" s="773" t="s">
        <v>249</v>
      </c>
      <c r="AH19" s="774"/>
      <c r="AI19" s="774"/>
      <c r="AJ19" s="775"/>
      <c r="AK19" s="773" t="s">
        <v>77</v>
      </c>
      <c r="AL19" s="774"/>
      <c r="AM19" s="774"/>
      <c r="AN19" s="775"/>
      <c r="AO19" s="773" t="s">
        <v>71</v>
      </c>
      <c r="AP19" s="774"/>
      <c r="AQ19" s="774"/>
      <c r="AR19" s="779"/>
    </row>
    <row r="20" spans="3:44" ht="18" customHeight="1">
      <c r="C20" s="795"/>
      <c r="D20" s="777"/>
      <c r="E20" s="778"/>
      <c r="F20" s="776"/>
      <c r="G20" s="777"/>
      <c r="H20" s="777"/>
      <c r="I20" s="777"/>
      <c r="J20" s="777"/>
      <c r="K20" s="777"/>
      <c r="L20" s="777"/>
      <c r="M20" s="777"/>
      <c r="N20" s="777"/>
      <c r="O20" s="777"/>
      <c r="P20" s="777"/>
      <c r="Q20" s="777"/>
      <c r="R20" s="777"/>
      <c r="S20" s="777"/>
      <c r="T20" s="777"/>
      <c r="U20" s="777"/>
      <c r="V20" s="777"/>
      <c r="W20" s="777"/>
      <c r="X20" s="777"/>
      <c r="Y20" s="777"/>
      <c r="Z20" s="777"/>
      <c r="AA20" s="777"/>
      <c r="AB20" s="778"/>
      <c r="AC20" s="776"/>
      <c r="AD20" s="777"/>
      <c r="AE20" s="777"/>
      <c r="AF20" s="778"/>
      <c r="AG20" s="776"/>
      <c r="AH20" s="777"/>
      <c r="AI20" s="777"/>
      <c r="AJ20" s="778"/>
      <c r="AK20" s="776"/>
      <c r="AL20" s="777"/>
      <c r="AM20" s="777"/>
      <c r="AN20" s="778"/>
      <c r="AO20" s="776"/>
      <c r="AP20" s="777"/>
      <c r="AQ20" s="777"/>
      <c r="AR20" s="780"/>
    </row>
    <row r="21" spans="3:44" ht="18" customHeight="1">
      <c r="C21" s="781" t="s">
        <v>940</v>
      </c>
      <c r="D21" s="782"/>
      <c r="E21" s="783"/>
      <c r="F21" s="493" t="s">
        <v>105</v>
      </c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770"/>
      <c r="AD21" s="771"/>
      <c r="AE21" s="771"/>
      <c r="AF21" s="790"/>
      <c r="AG21" s="770">
        <v>8</v>
      </c>
      <c r="AH21" s="771"/>
      <c r="AI21" s="771"/>
      <c r="AJ21" s="790"/>
      <c r="AK21" s="449">
        <f>VLOOKUP(C21,[4]MÃODEOBRA!A$1:D$65536,4,FALSE)</f>
        <v>22.98488</v>
      </c>
      <c r="AL21" s="449"/>
      <c r="AM21" s="449"/>
      <c r="AN21" s="449"/>
      <c r="AO21" s="491">
        <f>ROUND(AG21*AK21,2)</f>
        <v>183.88</v>
      </c>
      <c r="AP21" s="491"/>
      <c r="AQ21" s="491"/>
      <c r="AR21" s="492"/>
    </row>
    <row r="22" spans="3:44" ht="18" customHeight="1">
      <c r="C22" s="758" t="s">
        <v>1374</v>
      </c>
      <c r="D22" s="759"/>
      <c r="E22" s="760"/>
      <c r="F22" s="493" t="s">
        <v>494</v>
      </c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740"/>
      <c r="AD22" s="741"/>
      <c r="AE22" s="741"/>
      <c r="AF22" s="757"/>
      <c r="AG22" s="740">
        <v>16</v>
      </c>
      <c r="AH22" s="741"/>
      <c r="AI22" s="741"/>
      <c r="AJ22" s="757"/>
      <c r="AK22" s="449">
        <f>VLOOKUP(C22,[4]MÃODEOBRA!A$1:D$65536,4,FALSE)</f>
        <v>11.156079999999999</v>
      </c>
      <c r="AL22" s="449"/>
      <c r="AM22" s="449"/>
      <c r="AN22" s="449"/>
      <c r="AO22" s="491">
        <f>ROUND(AG22*AK22,2)</f>
        <v>178.5</v>
      </c>
      <c r="AP22" s="491"/>
      <c r="AQ22" s="491"/>
      <c r="AR22" s="492"/>
    </row>
    <row r="23" spans="3:44" ht="18" customHeight="1">
      <c r="C23" s="758" t="s">
        <v>1375</v>
      </c>
      <c r="D23" s="759"/>
      <c r="E23" s="760"/>
      <c r="F23" s="796" t="s">
        <v>106</v>
      </c>
      <c r="G23" s="797"/>
      <c r="H23" s="797"/>
      <c r="I23" s="797"/>
      <c r="J23" s="797"/>
      <c r="K23" s="797"/>
      <c r="L23" s="797"/>
      <c r="M23" s="797"/>
      <c r="N23" s="797"/>
      <c r="O23" s="797"/>
      <c r="P23" s="797"/>
      <c r="Q23" s="797"/>
      <c r="R23" s="797"/>
      <c r="S23" s="797"/>
      <c r="T23" s="797"/>
      <c r="U23" s="797"/>
      <c r="V23" s="797"/>
      <c r="W23" s="797"/>
      <c r="X23" s="797"/>
      <c r="Y23" s="797"/>
      <c r="Z23" s="797"/>
      <c r="AA23" s="797"/>
      <c r="AB23" s="798"/>
      <c r="AC23" s="740"/>
      <c r="AD23" s="741"/>
      <c r="AE23" s="741"/>
      <c r="AF23" s="757"/>
      <c r="AG23" s="740">
        <v>16</v>
      </c>
      <c r="AH23" s="741"/>
      <c r="AI23" s="741"/>
      <c r="AJ23" s="757"/>
      <c r="AK23" s="449">
        <f>VLOOKUP(C23,[4]MÃODEOBRA!A$1:D$65536,4,FALSE)</f>
        <v>7.90456</v>
      </c>
      <c r="AL23" s="449"/>
      <c r="AM23" s="449"/>
      <c r="AN23" s="449"/>
      <c r="AO23" s="491">
        <f>ROUND(AG23*AK23,2)</f>
        <v>126.47</v>
      </c>
      <c r="AP23" s="491"/>
      <c r="AQ23" s="491"/>
      <c r="AR23" s="492"/>
    </row>
    <row r="24" spans="3:44" ht="18" customHeight="1">
      <c r="C24" s="758"/>
      <c r="D24" s="759"/>
      <c r="E24" s="760"/>
      <c r="F24" s="796"/>
      <c r="G24" s="797"/>
      <c r="H24" s="797"/>
      <c r="I24" s="797"/>
      <c r="J24" s="797"/>
      <c r="K24" s="797"/>
      <c r="L24" s="797"/>
      <c r="M24" s="797"/>
      <c r="N24" s="797"/>
      <c r="O24" s="797"/>
      <c r="P24" s="797"/>
      <c r="Q24" s="797"/>
      <c r="R24" s="797"/>
      <c r="S24" s="797"/>
      <c r="T24" s="797"/>
      <c r="U24" s="797"/>
      <c r="V24" s="797"/>
      <c r="W24" s="797"/>
      <c r="X24" s="797"/>
      <c r="Y24" s="797"/>
      <c r="Z24" s="797"/>
      <c r="AA24" s="797"/>
      <c r="AB24" s="798"/>
      <c r="AC24" s="740"/>
      <c r="AD24" s="741"/>
      <c r="AE24" s="741"/>
      <c r="AF24" s="757"/>
      <c r="AG24" s="740"/>
      <c r="AH24" s="741"/>
      <c r="AI24" s="741"/>
      <c r="AJ24" s="757"/>
      <c r="AK24" s="740"/>
      <c r="AL24" s="741"/>
      <c r="AM24" s="741"/>
      <c r="AN24" s="757"/>
      <c r="AO24" s="466"/>
      <c r="AP24" s="467"/>
      <c r="AQ24" s="467"/>
      <c r="AR24" s="823"/>
    </row>
    <row r="25" spans="3:44" ht="18" customHeight="1">
      <c r="C25" s="758"/>
      <c r="D25" s="759"/>
      <c r="E25" s="760"/>
      <c r="F25" s="796"/>
      <c r="G25" s="797"/>
      <c r="H25" s="797"/>
      <c r="I25" s="797"/>
      <c r="J25" s="797"/>
      <c r="K25" s="797"/>
      <c r="L25" s="797"/>
      <c r="M25" s="797"/>
      <c r="N25" s="797"/>
      <c r="O25" s="797"/>
      <c r="P25" s="797"/>
      <c r="Q25" s="797"/>
      <c r="R25" s="797"/>
      <c r="S25" s="797"/>
      <c r="T25" s="797"/>
      <c r="U25" s="797"/>
      <c r="V25" s="797"/>
      <c r="W25" s="797"/>
      <c r="X25" s="797"/>
      <c r="Y25" s="797"/>
      <c r="Z25" s="797"/>
      <c r="AA25" s="797"/>
      <c r="AB25" s="798"/>
      <c r="AC25" s="740"/>
      <c r="AD25" s="741"/>
      <c r="AE25" s="741"/>
      <c r="AF25" s="757"/>
      <c r="AG25" s="740"/>
      <c r="AH25" s="741"/>
      <c r="AI25" s="741"/>
      <c r="AJ25" s="757"/>
      <c r="AK25" s="740"/>
      <c r="AL25" s="741"/>
      <c r="AM25" s="741"/>
      <c r="AN25" s="757"/>
      <c r="AO25" s="466"/>
      <c r="AP25" s="467"/>
      <c r="AQ25" s="467"/>
      <c r="AR25" s="823"/>
    </row>
    <row r="26" spans="3:44" ht="18" customHeight="1">
      <c r="C26" s="758"/>
      <c r="D26" s="759"/>
      <c r="E26" s="760"/>
      <c r="F26" s="796"/>
      <c r="G26" s="797"/>
      <c r="H26" s="797"/>
      <c r="I26" s="797"/>
      <c r="J26" s="797"/>
      <c r="K26" s="797"/>
      <c r="L26" s="797"/>
      <c r="M26" s="797"/>
      <c r="N26" s="797"/>
      <c r="O26" s="797"/>
      <c r="P26" s="797"/>
      <c r="Q26" s="797"/>
      <c r="R26" s="797"/>
      <c r="S26" s="797"/>
      <c r="T26" s="797"/>
      <c r="U26" s="797"/>
      <c r="V26" s="797"/>
      <c r="W26" s="797"/>
      <c r="X26" s="797"/>
      <c r="Y26" s="797"/>
      <c r="Z26" s="797"/>
      <c r="AA26" s="797"/>
      <c r="AB26" s="798"/>
      <c r="AC26" s="740"/>
      <c r="AD26" s="741"/>
      <c r="AE26" s="741"/>
      <c r="AF26" s="757"/>
      <c r="AG26" s="740"/>
      <c r="AH26" s="741"/>
      <c r="AI26" s="741"/>
      <c r="AJ26" s="757"/>
      <c r="AK26" s="740"/>
      <c r="AL26" s="741"/>
      <c r="AM26" s="741"/>
      <c r="AN26" s="757"/>
      <c r="AO26" s="466"/>
      <c r="AP26" s="467"/>
      <c r="AQ26" s="467"/>
      <c r="AR26" s="823"/>
    </row>
    <row r="27" spans="3:44" ht="18" customHeight="1">
      <c r="C27" s="758"/>
      <c r="D27" s="759"/>
      <c r="E27" s="760"/>
      <c r="F27" s="796"/>
      <c r="G27" s="797"/>
      <c r="H27" s="797"/>
      <c r="I27" s="797"/>
      <c r="J27" s="797"/>
      <c r="K27" s="797"/>
      <c r="L27" s="797"/>
      <c r="M27" s="797"/>
      <c r="N27" s="797"/>
      <c r="O27" s="797"/>
      <c r="P27" s="797"/>
      <c r="Q27" s="797"/>
      <c r="R27" s="797"/>
      <c r="S27" s="797"/>
      <c r="T27" s="797"/>
      <c r="U27" s="797"/>
      <c r="V27" s="797"/>
      <c r="W27" s="797"/>
      <c r="X27" s="797"/>
      <c r="Y27" s="797"/>
      <c r="Z27" s="797"/>
      <c r="AA27" s="797"/>
      <c r="AB27" s="798"/>
      <c r="AC27" s="740"/>
      <c r="AD27" s="741"/>
      <c r="AE27" s="741"/>
      <c r="AF27" s="757"/>
      <c r="AG27" s="740"/>
      <c r="AH27" s="741"/>
      <c r="AI27" s="741"/>
      <c r="AJ27" s="757"/>
      <c r="AK27" s="740"/>
      <c r="AL27" s="741"/>
      <c r="AM27" s="741"/>
      <c r="AN27" s="757"/>
      <c r="AO27" s="466"/>
      <c r="AP27" s="467"/>
      <c r="AQ27" s="467"/>
      <c r="AR27" s="823"/>
    </row>
    <row r="28" spans="3:44" ht="18" customHeight="1">
      <c r="C28" s="758"/>
      <c r="D28" s="759"/>
      <c r="E28" s="760"/>
      <c r="F28" s="796"/>
      <c r="G28" s="797"/>
      <c r="H28" s="797"/>
      <c r="I28" s="797"/>
      <c r="J28" s="797"/>
      <c r="K28" s="797"/>
      <c r="L28" s="797"/>
      <c r="M28" s="797"/>
      <c r="N28" s="797"/>
      <c r="O28" s="797"/>
      <c r="P28" s="797"/>
      <c r="Q28" s="797"/>
      <c r="R28" s="797"/>
      <c r="S28" s="797"/>
      <c r="T28" s="797"/>
      <c r="U28" s="797"/>
      <c r="V28" s="797"/>
      <c r="W28" s="797"/>
      <c r="X28" s="797"/>
      <c r="Y28" s="797"/>
      <c r="Z28" s="797"/>
      <c r="AA28" s="797"/>
      <c r="AB28" s="798"/>
      <c r="AC28" s="740"/>
      <c r="AD28" s="741"/>
      <c r="AE28" s="741"/>
      <c r="AF28" s="757"/>
      <c r="AG28" s="740"/>
      <c r="AH28" s="741"/>
      <c r="AI28" s="741"/>
      <c r="AJ28" s="757"/>
      <c r="AK28" s="740"/>
      <c r="AL28" s="741"/>
      <c r="AM28" s="741"/>
      <c r="AN28" s="757"/>
      <c r="AO28" s="466"/>
      <c r="AP28" s="467"/>
      <c r="AQ28" s="467"/>
      <c r="AR28" s="823"/>
    </row>
    <row r="29" spans="3:44" ht="18" customHeight="1">
      <c r="C29" s="814"/>
      <c r="D29" s="815"/>
      <c r="E29" s="815"/>
      <c r="F29" s="815"/>
      <c r="G29" s="815"/>
      <c r="H29" s="815"/>
      <c r="I29" s="815"/>
      <c r="J29" s="815"/>
      <c r="K29" s="815"/>
      <c r="L29" s="815"/>
      <c r="M29" s="815"/>
      <c r="N29" s="815"/>
      <c r="O29" s="815"/>
      <c r="P29" s="815"/>
      <c r="Q29" s="815"/>
      <c r="R29" s="815"/>
      <c r="S29" s="815"/>
      <c r="T29" s="815"/>
      <c r="U29" s="815"/>
      <c r="V29" s="815"/>
      <c r="W29" s="815"/>
      <c r="X29" s="815"/>
      <c r="Y29" s="816" t="s">
        <v>78</v>
      </c>
      <c r="Z29" s="816"/>
      <c r="AA29" s="816"/>
      <c r="AB29" s="816"/>
      <c r="AC29" s="816"/>
      <c r="AD29" s="816"/>
      <c r="AE29" s="816"/>
      <c r="AF29" s="483"/>
      <c r="AG29" s="817" t="s">
        <v>267</v>
      </c>
      <c r="AH29" s="818"/>
      <c r="AI29" s="818"/>
      <c r="AJ29" s="819"/>
      <c r="AK29" s="466">
        <f>SUM(AO21:AR28)</f>
        <v>488.85</v>
      </c>
      <c r="AL29" s="467"/>
      <c r="AM29" s="467"/>
      <c r="AN29" s="468"/>
      <c r="AO29" s="820">
        <f>ROUND(AG29*AK29,2)</f>
        <v>100.26</v>
      </c>
      <c r="AP29" s="821"/>
      <c r="AQ29" s="821"/>
      <c r="AR29" s="822"/>
    </row>
    <row r="30" spans="3:44" ht="18" customHeight="1">
      <c r="C30" s="743"/>
      <c r="D30" s="744"/>
      <c r="E30" s="744"/>
      <c r="F30" s="744"/>
      <c r="G30" s="744"/>
      <c r="H30" s="744"/>
      <c r="I30" s="744"/>
      <c r="J30" s="744"/>
      <c r="K30" s="744"/>
      <c r="L30" s="744"/>
      <c r="M30" s="744"/>
      <c r="N30" s="744"/>
      <c r="O30" s="744"/>
      <c r="P30" s="744"/>
      <c r="Q30" s="744"/>
      <c r="R30" s="744"/>
      <c r="S30" s="744"/>
      <c r="T30" s="744"/>
      <c r="U30" s="744"/>
      <c r="V30" s="744"/>
      <c r="W30" s="744"/>
      <c r="X30" s="744"/>
      <c r="Y30" s="745" t="s">
        <v>79</v>
      </c>
      <c r="Z30" s="745"/>
      <c r="AA30" s="745"/>
      <c r="AB30" s="745"/>
      <c r="AC30" s="745"/>
      <c r="AD30" s="745"/>
      <c r="AE30" s="745"/>
      <c r="AF30" s="745"/>
      <c r="AG30" s="745"/>
      <c r="AH30" s="745"/>
      <c r="AI30" s="745"/>
      <c r="AJ30" s="745"/>
      <c r="AK30" s="745"/>
      <c r="AL30" s="745"/>
      <c r="AM30" s="745"/>
      <c r="AN30" s="430"/>
      <c r="AO30" s="477">
        <f>SUM(AO21:AR29)</f>
        <v>589.11</v>
      </c>
      <c r="AP30" s="746"/>
      <c r="AQ30" s="746"/>
      <c r="AR30" s="747"/>
    </row>
    <row r="32" spans="3:44" ht="18" customHeight="1">
      <c r="C32" s="802"/>
      <c r="D32" s="803"/>
      <c r="E32" s="803"/>
      <c r="F32" s="803"/>
      <c r="G32" s="803"/>
      <c r="H32" s="803"/>
      <c r="I32" s="803"/>
      <c r="J32" s="803"/>
      <c r="K32" s="803"/>
      <c r="L32" s="803"/>
      <c r="M32" s="803"/>
      <c r="N32" s="803"/>
      <c r="O32" s="803"/>
      <c r="P32" s="803"/>
      <c r="Q32" s="803"/>
      <c r="R32" s="803"/>
      <c r="S32" s="803"/>
      <c r="T32" s="803"/>
      <c r="U32" s="803"/>
      <c r="V32" s="803"/>
      <c r="W32" s="803"/>
      <c r="X32" s="803"/>
      <c r="Y32" s="804" t="s">
        <v>80</v>
      </c>
      <c r="Z32" s="805"/>
      <c r="AA32" s="805"/>
      <c r="AB32" s="805"/>
      <c r="AC32" s="805"/>
      <c r="AD32" s="805"/>
      <c r="AE32" s="805"/>
      <c r="AF32" s="805"/>
      <c r="AG32" s="805"/>
      <c r="AH32" s="805"/>
      <c r="AI32" s="805"/>
      <c r="AJ32" s="805"/>
      <c r="AK32" s="805"/>
      <c r="AL32" s="805"/>
      <c r="AM32" s="805"/>
      <c r="AN32" s="806"/>
      <c r="AO32" s="807">
        <f>AO17+AO30</f>
        <v>1389.1100000000001</v>
      </c>
      <c r="AP32" s="808"/>
      <c r="AQ32" s="808"/>
      <c r="AR32" s="809"/>
    </row>
    <row r="33" spans="3:44" ht="18" customHeight="1">
      <c r="C33" s="810" t="s">
        <v>81</v>
      </c>
      <c r="D33" s="745"/>
      <c r="E33" s="745"/>
      <c r="F33" s="745"/>
      <c r="G33" s="745"/>
      <c r="H33" s="745"/>
      <c r="I33" s="745"/>
      <c r="J33" s="745"/>
      <c r="K33" s="745"/>
      <c r="L33" s="745"/>
      <c r="M33" s="745"/>
      <c r="N33" s="745"/>
      <c r="O33" s="745"/>
      <c r="P33" s="430"/>
      <c r="Q33" s="477">
        <v>2.5</v>
      </c>
      <c r="R33" s="746"/>
      <c r="S33" s="746"/>
      <c r="T33" s="746"/>
      <c r="U33" s="746"/>
      <c r="V33" s="745" t="s">
        <v>194</v>
      </c>
      <c r="W33" s="745"/>
      <c r="X33" s="430"/>
      <c r="Y33" s="804" t="s">
        <v>82</v>
      </c>
      <c r="Z33" s="805"/>
      <c r="AA33" s="805"/>
      <c r="AB33" s="805"/>
      <c r="AC33" s="805"/>
      <c r="AD33" s="805"/>
      <c r="AE33" s="805"/>
      <c r="AF33" s="805"/>
      <c r="AG33" s="805"/>
      <c r="AH33" s="805"/>
      <c r="AI33" s="805"/>
      <c r="AJ33" s="805"/>
      <c r="AK33" s="805"/>
      <c r="AL33" s="805"/>
      <c r="AM33" s="805"/>
      <c r="AN33" s="806"/>
      <c r="AO33" s="811">
        <f>ROUND(AO32/Q33,2)</f>
        <v>555.64</v>
      </c>
      <c r="AP33" s="812"/>
      <c r="AQ33" s="812"/>
      <c r="AR33" s="813"/>
    </row>
    <row r="35" spans="3:44" ht="18" customHeight="1">
      <c r="C35" s="794" t="s">
        <v>43</v>
      </c>
      <c r="D35" s="774"/>
      <c r="E35" s="775"/>
      <c r="F35" s="773" t="s">
        <v>83</v>
      </c>
      <c r="G35" s="774"/>
      <c r="H35" s="774"/>
      <c r="I35" s="774"/>
      <c r="J35" s="774"/>
      <c r="K35" s="774"/>
      <c r="L35" s="774"/>
      <c r="M35" s="774"/>
      <c r="N35" s="774"/>
      <c r="O35" s="774"/>
      <c r="P35" s="774"/>
      <c r="Q35" s="774"/>
      <c r="R35" s="774"/>
      <c r="S35" s="774"/>
      <c r="T35" s="774"/>
      <c r="U35" s="774"/>
      <c r="V35" s="774"/>
      <c r="W35" s="774"/>
      <c r="X35" s="774"/>
      <c r="Y35" s="774"/>
      <c r="Z35" s="774"/>
      <c r="AA35" s="774"/>
      <c r="AB35" s="775"/>
      <c r="AC35" s="773" t="s">
        <v>84</v>
      </c>
      <c r="AD35" s="774"/>
      <c r="AE35" s="774"/>
      <c r="AF35" s="775"/>
      <c r="AG35" s="773" t="s">
        <v>85</v>
      </c>
      <c r="AH35" s="774"/>
      <c r="AI35" s="774"/>
      <c r="AJ35" s="775"/>
      <c r="AK35" s="773" t="s">
        <v>86</v>
      </c>
      <c r="AL35" s="774"/>
      <c r="AM35" s="774"/>
      <c r="AN35" s="775"/>
      <c r="AO35" s="773" t="s">
        <v>87</v>
      </c>
      <c r="AP35" s="774"/>
      <c r="AQ35" s="774"/>
      <c r="AR35" s="779"/>
    </row>
    <row r="36" spans="3:44" ht="18" customHeight="1">
      <c r="C36" s="795"/>
      <c r="D36" s="777"/>
      <c r="E36" s="778"/>
      <c r="F36" s="776"/>
      <c r="G36" s="777"/>
      <c r="H36" s="777"/>
      <c r="I36" s="777"/>
      <c r="J36" s="777"/>
      <c r="K36" s="777"/>
      <c r="L36" s="777"/>
      <c r="M36" s="777"/>
      <c r="N36" s="777"/>
      <c r="O36" s="777"/>
      <c r="P36" s="777"/>
      <c r="Q36" s="777"/>
      <c r="R36" s="777"/>
      <c r="S36" s="777"/>
      <c r="T36" s="777"/>
      <c r="U36" s="777"/>
      <c r="V36" s="777"/>
      <c r="W36" s="777"/>
      <c r="X36" s="777"/>
      <c r="Y36" s="777"/>
      <c r="Z36" s="777"/>
      <c r="AA36" s="777"/>
      <c r="AB36" s="778"/>
      <c r="AC36" s="776"/>
      <c r="AD36" s="777"/>
      <c r="AE36" s="777"/>
      <c r="AF36" s="778"/>
      <c r="AG36" s="776"/>
      <c r="AH36" s="777"/>
      <c r="AI36" s="777"/>
      <c r="AJ36" s="778"/>
      <c r="AK36" s="776"/>
      <c r="AL36" s="777"/>
      <c r="AM36" s="777"/>
      <c r="AN36" s="778"/>
      <c r="AO36" s="776"/>
      <c r="AP36" s="777"/>
      <c r="AQ36" s="777"/>
      <c r="AR36" s="780"/>
    </row>
    <row r="37" spans="3:44" ht="18" customHeight="1">
      <c r="C37" s="781"/>
      <c r="D37" s="782"/>
      <c r="E37" s="783"/>
      <c r="F37" s="493"/>
      <c r="G37" s="493"/>
      <c r="H37" s="493"/>
      <c r="I37" s="493"/>
      <c r="J37" s="493"/>
      <c r="K37" s="493"/>
      <c r="L37" s="493"/>
      <c r="M37" s="493"/>
      <c r="N37" s="493"/>
      <c r="O37" s="493"/>
      <c r="P37" s="493"/>
      <c r="Q37" s="493"/>
      <c r="R37" s="493"/>
      <c r="S37" s="493"/>
      <c r="T37" s="493"/>
      <c r="U37" s="493"/>
      <c r="V37" s="493"/>
      <c r="W37" s="493"/>
      <c r="X37" s="493"/>
      <c r="Y37" s="493"/>
      <c r="Z37" s="493"/>
      <c r="AA37" s="493"/>
      <c r="AB37" s="493"/>
      <c r="AC37" s="471"/>
      <c r="AD37" s="803"/>
      <c r="AE37" s="803"/>
      <c r="AF37" s="871"/>
      <c r="AG37" s="491"/>
      <c r="AH37" s="491"/>
      <c r="AI37" s="491"/>
      <c r="AJ37" s="491"/>
      <c r="AK37" s="791"/>
      <c r="AL37" s="792"/>
      <c r="AM37" s="792"/>
      <c r="AN37" s="793"/>
      <c r="AO37" s="449"/>
      <c r="AP37" s="449"/>
      <c r="AQ37" s="449"/>
      <c r="AR37" s="450"/>
    </row>
    <row r="38" spans="3:44" ht="18" customHeight="1">
      <c r="C38" s="758"/>
      <c r="D38" s="759"/>
      <c r="E38" s="760"/>
      <c r="F38" s="796"/>
      <c r="G38" s="797"/>
      <c r="H38" s="797"/>
      <c r="I38" s="797"/>
      <c r="J38" s="797"/>
      <c r="K38" s="797"/>
      <c r="L38" s="797"/>
      <c r="M38" s="797"/>
      <c r="N38" s="797"/>
      <c r="O38" s="797"/>
      <c r="P38" s="797"/>
      <c r="Q38" s="797"/>
      <c r="R38" s="797"/>
      <c r="S38" s="797"/>
      <c r="T38" s="797"/>
      <c r="U38" s="797"/>
      <c r="V38" s="797"/>
      <c r="W38" s="797"/>
      <c r="X38" s="797"/>
      <c r="Y38" s="797"/>
      <c r="Z38" s="797"/>
      <c r="AA38" s="797"/>
      <c r="AB38" s="798"/>
      <c r="AC38" s="799"/>
      <c r="AD38" s="800"/>
      <c r="AE38" s="800"/>
      <c r="AF38" s="801"/>
      <c r="AG38" s="466"/>
      <c r="AH38" s="467"/>
      <c r="AI38" s="467"/>
      <c r="AJ38" s="468"/>
      <c r="AK38" s="737"/>
      <c r="AL38" s="738"/>
      <c r="AM38" s="738"/>
      <c r="AN38" s="739"/>
      <c r="AO38" s="449"/>
      <c r="AP38" s="449"/>
      <c r="AQ38" s="449"/>
      <c r="AR38" s="450"/>
    </row>
    <row r="39" spans="3:44" ht="18" customHeight="1">
      <c r="C39" s="758"/>
      <c r="D39" s="759"/>
      <c r="E39" s="760"/>
      <c r="F39" s="796"/>
      <c r="G39" s="797"/>
      <c r="H39" s="797"/>
      <c r="I39" s="797"/>
      <c r="J39" s="797"/>
      <c r="K39" s="797"/>
      <c r="L39" s="797"/>
      <c r="M39" s="797"/>
      <c r="N39" s="797"/>
      <c r="O39" s="797"/>
      <c r="P39" s="797"/>
      <c r="Q39" s="797"/>
      <c r="R39" s="797"/>
      <c r="S39" s="797"/>
      <c r="T39" s="797"/>
      <c r="U39" s="797"/>
      <c r="V39" s="797"/>
      <c r="W39" s="797"/>
      <c r="X39" s="797"/>
      <c r="Y39" s="797"/>
      <c r="Z39" s="797"/>
      <c r="AA39" s="797"/>
      <c r="AB39" s="798"/>
      <c r="AC39" s="799"/>
      <c r="AD39" s="800"/>
      <c r="AE39" s="800"/>
      <c r="AF39" s="801"/>
      <c r="AG39" s="466"/>
      <c r="AH39" s="467"/>
      <c r="AI39" s="467"/>
      <c r="AJ39" s="468"/>
      <c r="AK39" s="737"/>
      <c r="AL39" s="738"/>
      <c r="AM39" s="738"/>
      <c r="AN39" s="739"/>
      <c r="AO39" s="740"/>
      <c r="AP39" s="741"/>
      <c r="AQ39" s="741"/>
      <c r="AR39" s="742"/>
    </row>
    <row r="40" spans="3:44" ht="18" customHeight="1">
      <c r="C40" s="758"/>
      <c r="D40" s="759"/>
      <c r="E40" s="760"/>
      <c r="F40" s="796"/>
      <c r="G40" s="797"/>
      <c r="H40" s="797"/>
      <c r="I40" s="797"/>
      <c r="J40" s="797"/>
      <c r="K40" s="797"/>
      <c r="L40" s="797"/>
      <c r="M40" s="797"/>
      <c r="N40" s="797"/>
      <c r="O40" s="797"/>
      <c r="P40" s="797"/>
      <c r="Q40" s="797"/>
      <c r="R40" s="797"/>
      <c r="S40" s="797"/>
      <c r="T40" s="797"/>
      <c r="U40" s="797"/>
      <c r="V40" s="797"/>
      <c r="W40" s="797"/>
      <c r="X40" s="797"/>
      <c r="Y40" s="797"/>
      <c r="Z40" s="797"/>
      <c r="AA40" s="797"/>
      <c r="AB40" s="798"/>
      <c r="AC40" s="799"/>
      <c r="AD40" s="800"/>
      <c r="AE40" s="800"/>
      <c r="AF40" s="801"/>
      <c r="AG40" s="466"/>
      <c r="AH40" s="467"/>
      <c r="AI40" s="467"/>
      <c r="AJ40" s="468"/>
      <c r="AK40" s="737"/>
      <c r="AL40" s="738"/>
      <c r="AM40" s="738"/>
      <c r="AN40" s="739"/>
      <c r="AO40" s="740"/>
      <c r="AP40" s="741"/>
      <c r="AQ40" s="741"/>
      <c r="AR40" s="742"/>
    </row>
    <row r="41" spans="3:44" ht="18" customHeight="1">
      <c r="C41" s="758"/>
      <c r="D41" s="759"/>
      <c r="E41" s="760"/>
      <c r="F41" s="796">
        <v>0</v>
      </c>
      <c r="G41" s="797"/>
      <c r="H41" s="797"/>
      <c r="I41" s="797"/>
      <c r="J41" s="797"/>
      <c r="K41" s="797"/>
      <c r="L41" s="797"/>
      <c r="M41" s="797"/>
      <c r="N41" s="797"/>
      <c r="O41" s="797"/>
      <c r="P41" s="797"/>
      <c r="Q41" s="797"/>
      <c r="R41" s="797"/>
      <c r="S41" s="797"/>
      <c r="T41" s="797"/>
      <c r="U41" s="797"/>
      <c r="V41" s="797"/>
      <c r="W41" s="797"/>
      <c r="X41" s="797"/>
      <c r="Y41" s="797"/>
      <c r="Z41" s="797"/>
      <c r="AA41" s="797"/>
      <c r="AB41" s="798"/>
      <c r="AC41" s="799">
        <v>0</v>
      </c>
      <c r="AD41" s="800"/>
      <c r="AE41" s="800"/>
      <c r="AF41" s="801"/>
      <c r="AG41" s="466">
        <v>0</v>
      </c>
      <c r="AH41" s="467"/>
      <c r="AI41" s="467"/>
      <c r="AJ41" s="468"/>
      <c r="AK41" s="737"/>
      <c r="AL41" s="738"/>
      <c r="AM41" s="738"/>
      <c r="AN41" s="739"/>
      <c r="AO41" s="740">
        <f>ROUND(AG41*AK41,2)</f>
        <v>0</v>
      </c>
      <c r="AP41" s="741"/>
      <c r="AQ41" s="741"/>
      <c r="AR41" s="742"/>
    </row>
    <row r="42" spans="3:44" ht="18" customHeight="1">
      <c r="C42" s="758"/>
      <c r="D42" s="759"/>
      <c r="E42" s="760"/>
      <c r="F42" s="796"/>
      <c r="G42" s="797"/>
      <c r="H42" s="797"/>
      <c r="I42" s="797"/>
      <c r="J42" s="797"/>
      <c r="K42" s="797"/>
      <c r="L42" s="797"/>
      <c r="M42" s="797"/>
      <c r="N42" s="797"/>
      <c r="O42" s="797"/>
      <c r="P42" s="797"/>
      <c r="Q42" s="797"/>
      <c r="R42" s="797"/>
      <c r="S42" s="797"/>
      <c r="T42" s="797"/>
      <c r="U42" s="797"/>
      <c r="V42" s="797"/>
      <c r="W42" s="797"/>
      <c r="X42" s="797"/>
      <c r="Y42" s="797"/>
      <c r="Z42" s="797"/>
      <c r="AA42" s="797"/>
      <c r="AB42" s="798"/>
      <c r="AC42" s="799"/>
      <c r="AD42" s="800"/>
      <c r="AE42" s="800"/>
      <c r="AF42" s="801"/>
      <c r="AG42" s="466"/>
      <c r="AH42" s="467"/>
      <c r="AI42" s="467"/>
      <c r="AJ42" s="468"/>
      <c r="AK42" s="737"/>
      <c r="AL42" s="738"/>
      <c r="AM42" s="738"/>
      <c r="AN42" s="739"/>
      <c r="AO42" s="740"/>
      <c r="AP42" s="741"/>
      <c r="AQ42" s="741"/>
      <c r="AR42" s="742"/>
    </row>
    <row r="43" spans="3:44" ht="18" customHeight="1">
      <c r="C43" s="758"/>
      <c r="D43" s="759"/>
      <c r="E43" s="760"/>
      <c r="F43" s="796"/>
      <c r="G43" s="797"/>
      <c r="H43" s="797"/>
      <c r="I43" s="797"/>
      <c r="J43" s="797"/>
      <c r="K43" s="797"/>
      <c r="L43" s="797"/>
      <c r="M43" s="797"/>
      <c r="N43" s="797"/>
      <c r="O43" s="797"/>
      <c r="P43" s="797"/>
      <c r="Q43" s="797"/>
      <c r="R43" s="797"/>
      <c r="S43" s="797"/>
      <c r="T43" s="797"/>
      <c r="U43" s="797"/>
      <c r="V43" s="797"/>
      <c r="W43" s="797"/>
      <c r="X43" s="797"/>
      <c r="Y43" s="797"/>
      <c r="Z43" s="797"/>
      <c r="AA43" s="797"/>
      <c r="AB43" s="798"/>
      <c r="AC43" s="799"/>
      <c r="AD43" s="800"/>
      <c r="AE43" s="800"/>
      <c r="AF43" s="801"/>
      <c r="AG43" s="466"/>
      <c r="AH43" s="467"/>
      <c r="AI43" s="467"/>
      <c r="AJ43" s="468"/>
      <c r="AK43" s="737"/>
      <c r="AL43" s="738"/>
      <c r="AM43" s="738"/>
      <c r="AN43" s="739"/>
      <c r="AO43" s="740"/>
      <c r="AP43" s="741"/>
      <c r="AQ43" s="741"/>
      <c r="AR43" s="742"/>
    </row>
    <row r="44" spans="3:44" ht="18" customHeight="1">
      <c r="C44" s="758"/>
      <c r="D44" s="759"/>
      <c r="E44" s="760"/>
      <c r="F44" s="796"/>
      <c r="G44" s="797"/>
      <c r="H44" s="797"/>
      <c r="I44" s="797"/>
      <c r="J44" s="797"/>
      <c r="K44" s="797"/>
      <c r="L44" s="797"/>
      <c r="M44" s="797"/>
      <c r="N44" s="797"/>
      <c r="O44" s="797"/>
      <c r="P44" s="797"/>
      <c r="Q44" s="797"/>
      <c r="R44" s="797"/>
      <c r="S44" s="797"/>
      <c r="T44" s="797"/>
      <c r="U44" s="797"/>
      <c r="V44" s="797"/>
      <c r="W44" s="797"/>
      <c r="X44" s="797"/>
      <c r="Y44" s="797"/>
      <c r="Z44" s="797"/>
      <c r="AA44" s="797"/>
      <c r="AB44" s="798"/>
      <c r="AC44" s="799"/>
      <c r="AD44" s="800"/>
      <c r="AE44" s="800"/>
      <c r="AF44" s="801"/>
      <c r="AG44" s="466"/>
      <c r="AH44" s="467"/>
      <c r="AI44" s="467"/>
      <c r="AJ44" s="468"/>
      <c r="AK44" s="737"/>
      <c r="AL44" s="738"/>
      <c r="AM44" s="738"/>
      <c r="AN44" s="739"/>
      <c r="AO44" s="740"/>
      <c r="AP44" s="741"/>
      <c r="AQ44" s="741"/>
      <c r="AR44" s="742"/>
    </row>
    <row r="45" spans="3:44" ht="18" customHeight="1">
      <c r="C45" s="743"/>
      <c r="D45" s="744"/>
      <c r="E45" s="744"/>
      <c r="F45" s="744"/>
      <c r="G45" s="744"/>
      <c r="H45" s="744"/>
      <c r="I45" s="744"/>
      <c r="J45" s="744"/>
      <c r="K45" s="744"/>
      <c r="L45" s="744"/>
      <c r="M45" s="744"/>
      <c r="N45" s="744"/>
      <c r="O45" s="744"/>
      <c r="P45" s="744"/>
      <c r="Q45" s="744"/>
      <c r="R45" s="744"/>
      <c r="S45" s="744"/>
      <c r="T45" s="744"/>
      <c r="U45" s="744"/>
      <c r="V45" s="744"/>
      <c r="W45" s="744"/>
      <c r="X45" s="744"/>
      <c r="Y45" s="745" t="s">
        <v>88</v>
      </c>
      <c r="Z45" s="745"/>
      <c r="AA45" s="745"/>
      <c r="AB45" s="745"/>
      <c r="AC45" s="745"/>
      <c r="AD45" s="745"/>
      <c r="AE45" s="745"/>
      <c r="AF45" s="745"/>
      <c r="AG45" s="745"/>
      <c r="AH45" s="745"/>
      <c r="AI45" s="745"/>
      <c r="AJ45" s="745"/>
      <c r="AK45" s="745"/>
      <c r="AL45" s="745"/>
      <c r="AM45" s="745"/>
      <c r="AN45" s="430"/>
      <c r="AO45" s="477">
        <f>SUM(AO37:AR44)</f>
        <v>0</v>
      </c>
      <c r="AP45" s="746"/>
      <c r="AQ45" s="746"/>
      <c r="AR45" s="747"/>
    </row>
    <row r="47" spans="3:44" ht="18" customHeight="1">
      <c r="C47" s="794" t="s">
        <v>43</v>
      </c>
      <c r="D47" s="774"/>
      <c r="E47" s="775"/>
      <c r="F47" s="773" t="s">
        <v>89</v>
      </c>
      <c r="G47" s="774"/>
      <c r="H47" s="774"/>
      <c r="I47" s="774"/>
      <c r="J47" s="774"/>
      <c r="K47" s="774"/>
      <c r="L47" s="774"/>
      <c r="M47" s="774"/>
      <c r="N47" s="774"/>
      <c r="O47" s="774"/>
      <c r="P47" s="774"/>
      <c r="Q47" s="774"/>
      <c r="R47" s="775"/>
      <c r="S47" s="773" t="s">
        <v>90</v>
      </c>
      <c r="T47" s="774"/>
      <c r="U47" s="775"/>
      <c r="V47" s="773" t="s">
        <v>91</v>
      </c>
      <c r="W47" s="774"/>
      <c r="X47" s="775"/>
      <c r="Y47" s="773" t="s">
        <v>92</v>
      </c>
      <c r="Z47" s="774"/>
      <c r="AA47" s="774"/>
      <c r="AB47" s="774"/>
      <c r="AC47" s="774"/>
      <c r="AD47" s="775"/>
      <c r="AE47" s="773" t="s">
        <v>93</v>
      </c>
      <c r="AF47" s="774"/>
      <c r="AG47" s="775"/>
      <c r="AH47" s="773" t="s">
        <v>94</v>
      </c>
      <c r="AI47" s="774"/>
      <c r="AJ47" s="775"/>
      <c r="AK47" s="773" t="s">
        <v>86</v>
      </c>
      <c r="AL47" s="774"/>
      <c r="AM47" s="774"/>
      <c r="AN47" s="775"/>
      <c r="AO47" s="773" t="s">
        <v>87</v>
      </c>
      <c r="AP47" s="774"/>
      <c r="AQ47" s="774"/>
      <c r="AR47" s="779"/>
    </row>
    <row r="48" spans="3:44" ht="18" customHeight="1">
      <c r="C48" s="795"/>
      <c r="D48" s="777"/>
      <c r="E48" s="778"/>
      <c r="F48" s="776"/>
      <c r="G48" s="777"/>
      <c r="H48" s="777"/>
      <c r="I48" s="777"/>
      <c r="J48" s="777"/>
      <c r="K48" s="777"/>
      <c r="L48" s="777"/>
      <c r="M48" s="777"/>
      <c r="N48" s="777"/>
      <c r="O48" s="777"/>
      <c r="P48" s="777"/>
      <c r="Q48" s="777"/>
      <c r="R48" s="778"/>
      <c r="S48" s="776"/>
      <c r="T48" s="777"/>
      <c r="U48" s="778"/>
      <c r="V48" s="776"/>
      <c r="W48" s="777"/>
      <c r="X48" s="778"/>
      <c r="Y48" s="776"/>
      <c r="Z48" s="777"/>
      <c r="AA48" s="777"/>
      <c r="AB48" s="777"/>
      <c r="AC48" s="777"/>
      <c r="AD48" s="778"/>
      <c r="AE48" s="776"/>
      <c r="AF48" s="777"/>
      <c r="AG48" s="778"/>
      <c r="AH48" s="776"/>
      <c r="AI48" s="777"/>
      <c r="AJ48" s="778"/>
      <c r="AK48" s="776"/>
      <c r="AL48" s="777"/>
      <c r="AM48" s="777"/>
      <c r="AN48" s="778"/>
      <c r="AO48" s="776"/>
      <c r="AP48" s="777"/>
      <c r="AQ48" s="777"/>
      <c r="AR48" s="780"/>
    </row>
    <row r="49" spans="1:44" ht="18" customHeight="1">
      <c r="C49" s="781" t="s">
        <v>1521</v>
      </c>
      <c r="D49" s="782"/>
      <c r="E49" s="783"/>
      <c r="F49" s="457" t="s">
        <v>495</v>
      </c>
      <c r="G49" s="457"/>
      <c r="H49" s="457"/>
      <c r="I49" s="457"/>
      <c r="J49" s="457"/>
      <c r="K49" s="457"/>
      <c r="L49" s="457"/>
      <c r="M49" s="457"/>
      <c r="N49" s="457"/>
      <c r="O49" s="457"/>
      <c r="P49" s="457"/>
      <c r="Q49" s="457"/>
      <c r="R49" s="457"/>
      <c r="S49" s="784" t="s">
        <v>496</v>
      </c>
      <c r="T49" s="785"/>
      <c r="U49" s="786"/>
      <c r="V49" s="784" t="s">
        <v>103</v>
      </c>
      <c r="W49" s="785"/>
      <c r="X49" s="786"/>
      <c r="Y49" s="787" t="s">
        <v>497</v>
      </c>
      <c r="Z49" s="788"/>
      <c r="AA49" s="788"/>
      <c r="AB49" s="788"/>
      <c r="AC49" s="788"/>
      <c r="AD49" s="789"/>
      <c r="AE49" s="449">
        <f>VLOOKUP(C49,[4]T.CAM!A$1:E$65536,4,FALSE)</f>
        <v>0.32</v>
      </c>
      <c r="AF49" s="449"/>
      <c r="AG49" s="449"/>
      <c r="AH49" s="770">
        <v>20</v>
      </c>
      <c r="AI49" s="771"/>
      <c r="AJ49" s="790"/>
      <c r="AK49" s="791">
        <v>0.9</v>
      </c>
      <c r="AL49" s="792"/>
      <c r="AM49" s="792"/>
      <c r="AN49" s="793"/>
      <c r="AO49" s="770">
        <f>ROUND(AE49*AH49*AK49,2)</f>
        <v>5.76</v>
      </c>
      <c r="AP49" s="771"/>
      <c r="AQ49" s="771"/>
      <c r="AR49" s="772"/>
    </row>
    <row r="50" spans="1:44" ht="18" customHeight="1">
      <c r="C50" s="758"/>
      <c r="D50" s="759"/>
      <c r="E50" s="760"/>
      <c r="F50" s="761"/>
      <c r="G50" s="762"/>
      <c r="H50" s="762"/>
      <c r="I50" s="762"/>
      <c r="J50" s="762"/>
      <c r="K50" s="762"/>
      <c r="L50" s="762"/>
      <c r="M50" s="762"/>
      <c r="N50" s="762"/>
      <c r="O50" s="762"/>
      <c r="P50" s="762"/>
      <c r="Q50" s="762"/>
      <c r="R50" s="763"/>
      <c r="S50" s="764"/>
      <c r="T50" s="765"/>
      <c r="U50" s="766"/>
      <c r="V50" s="764"/>
      <c r="W50" s="765"/>
      <c r="X50" s="766"/>
      <c r="Y50" s="767"/>
      <c r="Z50" s="768"/>
      <c r="AA50" s="768"/>
      <c r="AB50" s="768"/>
      <c r="AC50" s="768"/>
      <c r="AD50" s="769"/>
      <c r="AE50" s="740"/>
      <c r="AF50" s="741"/>
      <c r="AG50" s="757"/>
      <c r="AH50" s="740"/>
      <c r="AI50" s="741"/>
      <c r="AJ50" s="757"/>
      <c r="AK50" s="737"/>
      <c r="AL50" s="738"/>
      <c r="AM50" s="738"/>
      <c r="AN50" s="739"/>
      <c r="AO50" s="740">
        <f t="shared" ref="AO50:AO56" si="0">ROUND(AE50*AH50*AK50,2)</f>
        <v>0</v>
      </c>
      <c r="AP50" s="741"/>
      <c r="AQ50" s="741"/>
      <c r="AR50" s="742"/>
    </row>
    <row r="51" spans="1:44" ht="18" customHeight="1">
      <c r="C51" s="758"/>
      <c r="D51" s="759"/>
      <c r="E51" s="760"/>
      <c r="F51" s="761"/>
      <c r="G51" s="762"/>
      <c r="H51" s="762"/>
      <c r="I51" s="762"/>
      <c r="J51" s="762"/>
      <c r="K51" s="762"/>
      <c r="L51" s="762"/>
      <c r="M51" s="762"/>
      <c r="N51" s="762"/>
      <c r="O51" s="762"/>
      <c r="P51" s="762"/>
      <c r="Q51" s="762"/>
      <c r="R51" s="763"/>
      <c r="S51" s="764"/>
      <c r="T51" s="765"/>
      <c r="U51" s="766"/>
      <c r="V51" s="764"/>
      <c r="W51" s="765"/>
      <c r="X51" s="766"/>
      <c r="Y51" s="767"/>
      <c r="Z51" s="768"/>
      <c r="AA51" s="768"/>
      <c r="AB51" s="768"/>
      <c r="AC51" s="768"/>
      <c r="AD51" s="769"/>
      <c r="AE51" s="740"/>
      <c r="AF51" s="741"/>
      <c r="AG51" s="757"/>
      <c r="AH51" s="740"/>
      <c r="AI51" s="741"/>
      <c r="AJ51" s="757"/>
      <c r="AK51" s="737"/>
      <c r="AL51" s="738"/>
      <c r="AM51" s="738"/>
      <c r="AN51" s="739"/>
      <c r="AO51" s="740">
        <f t="shared" si="0"/>
        <v>0</v>
      </c>
      <c r="AP51" s="741"/>
      <c r="AQ51" s="741"/>
      <c r="AR51" s="742"/>
    </row>
    <row r="52" spans="1:44" ht="18" customHeight="1">
      <c r="C52" s="758"/>
      <c r="D52" s="759"/>
      <c r="E52" s="760"/>
      <c r="F52" s="761"/>
      <c r="G52" s="762"/>
      <c r="H52" s="762"/>
      <c r="I52" s="762"/>
      <c r="J52" s="762"/>
      <c r="K52" s="762"/>
      <c r="L52" s="762"/>
      <c r="M52" s="762"/>
      <c r="N52" s="762"/>
      <c r="O52" s="762"/>
      <c r="P52" s="762"/>
      <c r="Q52" s="762"/>
      <c r="R52" s="763"/>
      <c r="S52" s="764"/>
      <c r="T52" s="765"/>
      <c r="U52" s="766"/>
      <c r="V52" s="764"/>
      <c r="W52" s="765"/>
      <c r="X52" s="766"/>
      <c r="Y52" s="767"/>
      <c r="Z52" s="768"/>
      <c r="AA52" s="768"/>
      <c r="AB52" s="768"/>
      <c r="AC52" s="768"/>
      <c r="AD52" s="769"/>
      <c r="AE52" s="740"/>
      <c r="AF52" s="741"/>
      <c r="AG52" s="757"/>
      <c r="AH52" s="740"/>
      <c r="AI52" s="741"/>
      <c r="AJ52" s="757"/>
      <c r="AK52" s="737"/>
      <c r="AL52" s="738"/>
      <c r="AM52" s="738"/>
      <c r="AN52" s="739"/>
      <c r="AO52" s="740">
        <f t="shared" si="0"/>
        <v>0</v>
      </c>
      <c r="AP52" s="741"/>
      <c r="AQ52" s="741"/>
      <c r="AR52" s="742"/>
    </row>
    <row r="53" spans="1:44" ht="18" customHeight="1">
      <c r="C53" s="758"/>
      <c r="D53" s="759"/>
      <c r="E53" s="760"/>
      <c r="F53" s="761"/>
      <c r="G53" s="762"/>
      <c r="H53" s="762"/>
      <c r="I53" s="762"/>
      <c r="J53" s="762"/>
      <c r="K53" s="762"/>
      <c r="L53" s="762"/>
      <c r="M53" s="762"/>
      <c r="N53" s="762"/>
      <c r="O53" s="762"/>
      <c r="P53" s="762"/>
      <c r="Q53" s="762"/>
      <c r="R53" s="763"/>
      <c r="S53" s="764"/>
      <c r="T53" s="765"/>
      <c r="U53" s="766"/>
      <c r="V53" s="764"/>
      <c r="W53" s="765"/>
      <c r="X53" s="766"/>
      <c r="Y53" s="767"/>
      <c r="Z53" s="768"/>
      <c r="AA53" s="768"/>
      <c r="AB53" s="768"/>
      <c r="AC53" s="768"/>
      <c r="AD53" s="769"/>
      <c r="AE53" s="740"/>
      <c r="AF53" s="741"/>
      <c r="AG53" s="757"/>
      <c r="AH53" s="740"/>
      <c r="AI53" s="741"/>
      <c r="AJ53" s="757"/>
      <c r="AK53" s="737"/>
      <c r="AL53" s="738"/>
      <c r="AM53" s="738"/>
      <c r="AN53" s="739"/>
      <c r="AO53" s="740">
        <f t="shared" si="0"/>
        <v>0</v>
      </c>
      <c r="AP53" s="741"/>
      <c r="AQ53" s="741"/>
      <c r="AR53" s="742"/>
    </row>
    <row r="54" spans="1:44" ht="18" customHeight="1">
      <c r="C54" s="758"/>
      <c r="D54" s="759"/>
      <c r="E54" s="760"/>
      <c r="F54" s="761"/>
      <c r="G54" s="762"/>
      <c r="H54" s="762"/>
      <c r="I54" s="762"/>
      <c r="J54" s="762"/>
      <c r="K54" s="762"/>
      <c r="L54" s="762"/>
      <c r="M54" s="762"/>
      <c r="N54" s="762"/>
      <c r="O54" s="762"/>
      <c r="P54" s="762"/>
      <c r="Q54" s="762"/>
      <c r="R54" s="763"/>
      <c r="S54" s="764"/>
      <c r="T54" s="765"/>
      <c r="U54" s="766"/>
      <c r="V54" s="764"/>
      <c r="W54" s="765"/>
      <c r="X54" s="766"/>
      <c r="Y54" s="767"/>
      <c r="Z54" s="768"/>
      <c r="AA54" s="768"/>
      <c r="AB54" s="768"/>
      <c r="AC54" s="768"/>
      <c r="AD54" s="769"/>
      <c r="AE54" s="740"/>
      <c r="AF54" s="741"/>
      <c r="AG54" s="757"/>
      <c r="AH54" s="740"/>
      <c r="AI54" s="741"/>
      <c r="AJ54" s="757"/>
      <c r="AK54" s="737"/>
      <c r="AL54" s="738"/>
      <c r="AM54" s="738"/>
      <c r="AN54" s="739"/>
      <c r="AO54" s="740">
        <f t="shared" si="0"/>
        <v>0</v>
      </c>
      <c r="AP54" s="741"/>
      <c r="AQ54" s="741"/>
      <c r="AR54" s="742"/>
    </row>
    <row r="55" spans="1:44" ht="18" customHeight="1">
      <c r="C55" s="758"/>
      <c r="D55" s="759"/>
      <c r="E55" s="760"/>
      <c r="F55" s="761"/>
      <c r="G55" s="762"/>
      <c r="H55" s="762"/>
      <c r="I55" s="762"/>
      <c r="J55" s="762"/>
      <c r="K55" s="762"/>
      <c r="L55" s="762"/>
      <c r="M55" s="762"/>
      <c r="N55" s="762"/>
      <c r="O55" s="762"/>
      <c r="P55" s="762"/>
      <c r="Q55" s="762"/>
      <c r="R55" s="763"/>
      <c r="S55" s="764"/>
      <c r="T55" s="765"/>
      <c r="U55" s="766"/>
      <c r="V55" s="764"/>
      <c r="W55" s="765"/>
      <c r="X55" s="766"/>
      <c r="Y55" s="767"/>
      <c r="Z55" s="768"/>
      <c r="AA55" s="768"/>
      <c r="AB55" s="768"/>
      <c r="AC55" s="768"/>
      <c r="AD55" s="769"/>
      <c r="AE55" s="740"/>
      <c r="AF55" s="741"/>
      <c r="AG55" s="757"/>
      <c r="AH55" s="740"/>
      <c r="AI55" s="741"/>
      <c r="AJ55" s="757"/>
      <c r="AK55" s="737"/>
      <c r="AL55" s="738"/>
      <c r="AM55" s="738"/>
      <c r="AN55" s="739"/>
      <c r="AO55" s="740">
        <f t="shared" si="0"/>
        <v>0</v>
      </c>
      <c r="AP55" s="741"/>
      <c r="AQ55" s="741"/>
      <c r="AR55" s="742"/>
    </row>
    <row r="56" spans="1:44" ht="18" customHeight="1">
      <c r="C56" s="758"/>
      <c r="D56" s="759"/>
      <c r="E56" s="760"/>
      <c r="F56" s="761"/>
      <c r="G56" s="762"/>
      <c r="H56" s="762"/>
      <c r="I56" s="762"/>
      <c r="J56" s="762"/>
      <c r="K56" s="762"/>
      <c r="L56" s="762"/>
      <c r="M56" s="762"/>
      <c r="N56" s="762"/>
      <c r="O56" s="762"/>
      <c r="P56" s="762"/>
      <c r="Q56" s="762"/>
      <c r="R56" s="763"/>
      <c r="S56" s="764"/>
      <c r="T56" s="765"/>
      <c r="U56" s="766"/>
      <c r="V56" s="764"/>
      <c r="W56" s="765"/>
      <c r="X56" s="766"/>
      <c r="Y56" s="767"/>
      <c r="Z56" s="768"/>
      <c r="AA56" s="768"/>
      <c r="AB56" s="768"/>
      <c r="AC56" s="768"/>
      <c r="AD56" s="769"/>
      <c r="AE56" s="740"/>
      <c r="AF56" s="741"/>
      <c r="AG56" s="757"/>
      <c r="AH56" s="740"/>
      <c r="AI56" s="741"/>
      <c r="AJ56" s="757"/>
      <c r="AK56" s="737"/>
      <c r="AL56" s="738"/>
      <c r="AM56" s="738"/>
      <c r="AN56" s="739"/>
      <c r="AO56" s="740">
        <f t="shared" si="0"/>
        <v>0</v>
      </c>
      <c r="AP56" s="741"/>
      <c r="AQ56" s="741"/>
      <c r="AR56" s="742"/>
    </row>
    <row r="57" spans="1:44" ht="18" customHeight="1">
      <c r="C57" s="743"/>
      <c r="D57" s="744"/>
      <c r="E57" s="744"/>
      <c r="F57" s="744"/>
      <c r="G57" s="744"/>
      <c r="H57" s="744"/>
      <c r="I57" s="744"/>
      <c r="J57" s="744"/>
      <c r="K57" s="744"/>
      <c r="L57" s="744"/>
      <c r="M57" s="744"/>
      <c r="N57" s="744"/>
      <c r="O57" s="744"/>
      <c r="P57" s="744"/>
      <c r="Q57" s="744"/>
      <c r="R57" s="744"/>
      <c r="S57" s="744"/>
      <c r="T57" s="744"/>
      <c r="U57" s="744"/>
      <c r="V57" s="744"/>
      <c r="W57" s="744"/>
      <c r="X57" s="744"/>
      <c r="Y57" s="745" t="s">
        <v>95</v>
      </c>
      <c r="Z57" s="745"/>
      <c r="AA57" s="745"/>
      <c r="AB57" s="745"/>
      <c r="AC57" s="745"/>
      <c r="AD57" s="745"/>
      <c r="AE57" s="745"/>
      <c r="AF57" s="745"/>
      <c r="AG57" s="745"/>
      <c r="AH57" s="745"/>
      <c r="AI57" s="745"/>
      <c r="AJ57" s="745"/>
      <c r="AK57" s="745"/>
      <c r="AL57" s="745"/>
      <c r="AM57" s="745"/>
      <c r="AN57" s="430"/>
      <c r="AO57" s="477">
        <f>SUM(AO49:AR56)</f>
        <v>5.76</v>
      </c>
      <c r="AP57" s="746"/>
      <c r="AQ57" s="746"/>
      <c r="AR57" s="747"/>
    </row>
    <row r="59" spans="1:44" ht="18" customHeight="1">
      <c r="C59" s="434"/>
      <c r="D59" s="434"/>
      <c r="E59" s="434"/>
      <c r="F59" s="434"/>
      <c r="G59" s="434"/>
      <c r="H59" s="434"/>
      <c r="I59" s="434"/>
      <c r="J59" s="434"/>
      <c r="K59" s="434"/>
      <c r="L59" s="434"/>
      <c r="M59" s="434"/>
      <c r="N59" s="434"/>
      <c r="O59" s="434"/>
      <c r="P59" s="434"/>
      <c r="Q59" s="434"/>
      <c r="R59" s="434"/>
      <c r="S59" s="434"/>
      <c r="T59" s="434"/>
      <c r="U59" s="434"/>
      <c r="V59" s="434"/>
      <c r="W59" s="434"/>
      <c r="X59" s="748"/>
      <c r="Y59" s="749" t="s">
        <v>96</v>
      </c>
      <c r="Z59" s="750"/>
      <c r="AA59" s="750"/>
      <c r="AB59" s="750"/>
      <c r="AC59" s="750"/>
      <c r="AD59" s="750"/>
      <c r="AE59" s="750"/>
      <c r="AF59" s="750"/>
      <c r="AG59" s="750"/>
      <c r="AH59" s="750"/>
      <c r="AI59" s="750"/>
      <c r="AJ59" s="750"/>
      <c r="AK59" s="750"/>
      <c r="AL59" s="750"/>
      <c r="AM59" s="750"/>
      <c r="AN59" s="751"/>
      <c r="AO59" s="752">
        <f>AO33+AO45+AO57</f>
        <v>561.4</v>
      </c>
      <c r="AP59" s="753"/>
      <c r="AQ59" s="753"/>
      <c r="AR59" s="754"/>
    </row>
    <row r="60" spans="1:44" ht="18" customHeight="1">
      <c r="C60" s="434"/>
      <c r="D60" s="434"/>
      <c r="E60" s="434"/>
      <c r="F60" s="434"/>
      <c r="G60" s="434"/>
      <c r="H60" s="434"/>
      <c r="I60" s="434"/>
      <c r="J60" s="434"/>
      <c r="K60" s="434"/>
      <c r="L60" s="434"/>
      <c r="M60" s="434"/>
      <c r="N60" s="434"/>
      <c r="O60" s="434"/>
      <c r="P60" s="434"/>
      <c r="Q60" s="434"/>
      <c r="R60" s="434"/>
      <c r="S60" s="434"/>
      <c r="T60" s="434"/>
      <c r="U60" s="434"/>
      <c r="V60" s="434"/>
      <c r="W60" s="434"/>
      <c r="X60" s="748"/>
      <c r="Y60" s="755" t="s">
        <v>97</v>
      </c>
      <c r="Z60" s="756"/>
      <c r="AA60" s="756"/>
      <c r="AB60" s="756"/>
      <c r="AC60" s="756"/>
      <c r="AD60" s="756"/>
      <c r="AE60" s="756"/>
      <c r="AF60" s="756"/>
      <c r="AG60" s="756"/>
      <c r="AH60" s="442">
        <v>0.2031</v>
      </c>
      <c r="AI60" s="442"/>
      <c r="AJ60" s="442"/>
      <c r="AK60" s="442"/>
      <c r="AL60" s="442"/>
      <c r="AM60" s="442"/>
      <c r="AN60" s="443"/>
      <c r="AO60" s="728">
        <f>ROUND(AO59*AH60,2)</f>
        <v>114.02</v>
      </c>
      <c r="AP60" s="729"/>
      <c r="AQ60" s="729"/>
      <c r="AR60" s="730"/>
    </row>
    <row r="61" spans="1:44" ht="18" customHeight="1">
      <c r="A61" s="415" t="s">
        <v>498</v>
      </c>
      <c r="B61" s="415"/>
      <c r="C61" s="434"/>
      <c r="D61" s="434"/>
      <c r="E61" s="434"/>
      <c r="F61" s="434"/>
      <c r="G61" s="434"/>
      <c r="H61" s="434"/>
      <c r="I61" s="434"/>
      <c r="J61" s="434"/>
      <c r="K61" s="434"/>
      <c r="L61" s="434"/>
      <c r="M61" s="434"/>
      <c r="N61" s="434"/>
      <c r="O61" s="434"/>
      <c r="P61" s="434"/>
      <c r="Q61" s="434"/>
      <c r="R61" s="434"/>
      <c r="S61" s="434"/>
      <c r="T61" s="434"/>
      <c r="U61" s="434"/>
      <c r="V61" s="434"/>
      <c r="W61" s="434"/>
      <c r="X61" s="748"/>
      <c r="Y61" s="731" t="s">
        <v>98</v>
      </c>
      <c r="Z61" s="732"/>
      <c r="AA61" s="732"/>
      <c r="AB61" s="732"/>
      <c r="AC61" s="732"/>
      <c r="AD61" s="732"/>
      <c r="AE61" s="732"/>
      <c r="AF61" s="732"/>
      <c r="AG61" s="732"/>
      <c r="AH61" s="732"/>
      <c r="AI61" s="732"/>
      <c r="AJ61" s="732"/>
      <c r="AK61" s="732"/>
      <c r="AL61" s="732"/>
      <c r="AM61" s="732"/>
      <c r="AN61" s="733"/>
      <c r="AO61" s="734">
        <f>SUM(AO59:AR60)</f>
        <v>675.42</v>
      </c>
      <c r="AP61" s="735"/>
      <c r="AQ61" s="735"/>
      <c r="AR61" s="736"/>
    </row>
    <row r="63" spans="1:44" ht="18" customHeight="1">
      <c r="C63" s="420" t="s">
        <v>99</v>
      </c>
      <c r="D63" s="421"/>
      <c r="E63" s="421"/>
      <c r="F63" s="421"/>
      <c r="G63" s="421"/>
      <c r="H63" s="421"/>
      <c r="I63" s="422"/>
      <c r="J63" s="422"/>
      <c r="K63" s="422"/>
      <c r="L63" s="422"/>
      <c r="M63" s="422"/>
      <c r="N63" s="422"/>
      <c r="O63" s="422"/>
      <c r="P63" s="422"/>
      <c r="Q63" s="422"/>
      <c r="R63" s="422"/>
      <c r="S63" s="422"/>
      <c r="T63" s="422"/>
      <c r="U63" s="422"/>
      <c r="V63" s="422"/>
      <c r="W63" s="422"/>
      <c r="X63" s="422"/>
      <c r="Y63" s="422"/>
      <c r="Z63" s="422"/>
      <c r="AA63" s="422"/>
      <c r="AB63" s="422"/>
      <c r="AC63" s="422"/>
      <c r="AD63" s="422"/>
      <c r="AE63" s="422"/>
      <c r="AF63" s="422"/>
      <c r="AG63" s="422"/>
      <c r="AH63" s="422"/>
      <c r="AI63" s="422"/>
      <c r="AJ63" s="422"/>
      <c r="AK63" s="422"/>
      <c r="AL63" s="422"/>
      <c r="AM63" s="422"/>
      <c r="AN63" s="422"/>
      <c r="AO63" s="422"/>
      <c r="AP63" s="422"/>
      <c r="AQ63" s="422"/>
      <c r="AR63" s="423"/>
    </row>
    <row r="64" spans="1:44" ht="18" customHeight="1">
      <c r="C64" s="411"/>
      <c r="D64" s="412"/>
      <c r="E64" s="412"/>
      <c r="F64" s="412"/>
      <c r="G64" s="412"/>
      <c r="H64" s="412"/>
      <c r="I64" s="409"/>
      <c r="J64" s="409"/>
      <c r="K64" s="409"/>
      <c r="L64" s="409"/>
      <c r="M64" s="409"/>
      <c r="N64" s="409"/>
      <c r="O64" s="409"/>
      <c r="P64" s="409"/>
      <c r="Q64" s="409"/>
      <c r="R64" s="409"/>
      <c r="S64" s="409"/>
      <c r="T64" s="409"/>
      <c r="U64" s="409"/>
      <c r="V64" s="409"/>
      <c r="W64" s="409"/>
      <c r="X64" s="409"/>
      <c r="Y64" s="409"/>
      <c r="Z64" s="409"/>
      <c r="AA64" s="409"/>
      <c r="AB64" s="409"/>
      <c r="AC64" s="409"/>
      <c r="AD64" s="409"/>
      <c r="AE64" s="409"/>
      <c r="AF64" s="409"/>
      <c r="AG64" s="409"/>
      <c r="AH64" s="409"/>
      <c r="AI64" s="409"/>
      <c r="AJ64" s="409"/>
      <c r="AK64" s="409"/>
      <c r="AL64" s="409"/>
      <c r="AM64" s="409"/>
      <c r="AN64" s="409"/>
      <c r="AO64" s="409"/>
      <c r="AP64" s="409"/>
      <c r="AQ64" s="409"/>
      <c r="AR64" s="410"/>
    </row>
    <row r="65" spans="3:44" ht="18" customHeight="1">
      <c r="C65" s="411"/>
      <c r="D65" s="412"/>
      <c r="E65" s="412"/>
      <c r="F65" s="412"/>
      <c r="G65" s="412"/>
      <c r="H65" s="412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409"/>
      <c r="AC65" s="409"/>
      <c r="AD65" s="409"/>
      <c r="AE65" s="409"/>
      <c r="AF65" s="409"/>
      <c r="AG65" s="409"/>
      <c r="AH65" s="409"/>
      <c r="AI65" s="409"/>
      <c r="AJ65" s="409"/>
      <c r="AK65" s="409"/>
      <c r="AL65" s="409"/>
      <c r="AM65" s="409"/>
      <c r="AN65" s="409"/>
      <c r="AO65" s="409"/>
      <c r="AP65" s="409"/>
      <c r="AQ65" s="409"/>
      <c r="AR65" s="410"/>
    </row>
    <row r="66" spans="3:44" ht="18" customHeight="1">
      <c r="C66" s="411"/>
      <c r="D66" s="412"/>
      <c r="E66" s="412"/>
      <c r="F66" s="412"/>
      <c r="G66" s="412"/>
      <c r="H66" s="412"/>
      <c r="I66" s="409"/>
      <c r="J66" s="409"/>
      <c r="K66" s="409"/>
      <c r="L66" s="409"/>
      <c r="M66" s="409"/>
      <c r="N66" s="409"/>
      <c r="O66" s="409"/>
      <c r="P66" s="409"/>
      <c r="Q66" s="409"/>
      <c r="R66" s="409"/>
      <c r="S66" s="409"/>
      <c r="T66" s="409"/>
      <c r="U66" s="409"/>
      <c r="V66" s="409"/>
      <c r="W66" s="409"/>
      <c r="X66" s="409"/>
      <c r="Y66" s="409"/>
      <c r="Z66" s="409"/>
      <c r="AA66" s="409"/>
      <c r="AB66" s="409"/>
      <c r="AC66" s="409"/>
      <c r="AD66" s="409"/>
      <c r="AE66" s="409"/>
      <c r="AF66" s="409"/>
      <c r="AG66" s="409"/>
      <c r="AH66" s="409"/>
      <c r="AI66" s="409"/>
      <c r="AJ66" s="409"/>
      <c r="AK66" s="409"/>
      <c r="AL66" s="409"/>
      <c r="AM66" s="409"/>
      <c r="AN66" s="409"/>
      <c r="AO66" s="409"/>
      <c r="AP66" s="409"/>
      <c r="AQ66" s="409"/>
      <c r="AR66" s="410"/>
    </row>
    <row r="67" spans="3:44" ht="18" customHeight="1">
      <c r="C67" s="411"/>
      <c r="D67" s="412"/>
      <c r="E67" s="412"/>
      <c r="F67" s="412"/>
      <c r="G67" s="412"/>
      <c r="H67" s="412"/>
      <c r="I67" s="409"/>
      <c r="J67" s="409"/>
      <c r="K67" s="409"/>
      <c r="L67" s="409"/>
      <c r="M67" s="409"/>
      <c r="N67" s="409"/>
      <c r="O67" s="409"/>
      <c r="P67" s="409"/>
      <c r="Q67" s="409"/>
      <c r="R67" s="409"/>
      <c r="S67" s="409"/>
      <c r="T67" s="409"/>
      <c r="U67" s="409"/>
      <c r="V67" s="409"/>
      <c r="W67" s="409"/>
      <c r="X67" s="409"/>
      <c r="Y67" s="409"/>
      <c r="Z67" s="409"/>
      <c r="AA67" s="409"/>
      <c r="AB67" s="409"/>
      <c r="AC67" s="409"/>
      <c r="AD67" s="409"/>
      <c r="AE67" s="409"/>
      <c r="AF67" s="409"/>
      <c r="AG67" s="409"/>
      <c r="AH67" s="409"/>
      <c r="AI67" s="409"/>
      <c r="AJ67" s="409"/>
      <c r="AK67" s="409"/>
      <c r="AL67" s="409"/>
      <c r="AM67" s="409"/>
      <c r="AN67" s="409"/>
      <c r="AO67" s="409"/>
      <c r="AP67" s="409"/>
      <c r="AQ67" s="409"/>
      <c r="AR67" s="410"/>
    </row>
    <row r="68" spans="3:44" ht="18" customHeight="1">
      <c r="C68" s="385"/>
      <c r="D68" s="386"/>
      <c r="E68" s="386"/>
      <c r="F68" s="386"/>
      <c r="G68" s="386"/>
      <c r="H68" s="386"/>
      <c r="I68" s="387"/>
      <c r="J68" s="387"/>
      <c r="K68" s="387"/>
      <c r="L68" s="387"/>
      <c r="M68" s="387"/>
      <c r="N68" s="387"/>
      <c r="O68" s="387"/>
      <c r="P68" s="387"/>
      <c r="Q68" s="387"/>
      <c r="R68" s="387"/>
      <c r="S68" s="387"/>
      <c r="T68" s="387"/>
      <c r="U68" s="387"/>
      <c r="V68" s="387"/>
      <c r="W68" s="387"/>
      <c r="X68" s="387"/>
      <c r="Y68" s="387"/>
      <c r="Z68" s="387"/>
      <c r="AA68" s="387"/>
      <c r="AB68" s="387"/>
      <c r="AC68" s="387"/>
      <c r="AD68" s="387"/>
      <c r="AE68" s="387"/>
      <c r="AF68" s="387"/>
      <c r="AG68" s="387"/>
      <c r="AH68" s="387"/>
      <c r="AI68" s="387"/>
      <c r="AJ68" s="387"/>
      <c r="AK68" s="387"/>
      <c r="AL68" s="387"/>
      <c r="AM68" s="387"/>
      <c r="AN68" s="387"/>
      <c r="AO68" s="387"/>
      <c r="AP68" s="387"/>
      <c r="AQ68" s="387"/>
      <c r="AR68" s="388"/>
    </row>
    <row r="70" spans="3:44" ht="18" customHeight="1">
      <c r="C70" s="389" t="s">
        <v>100</v>
      </c>
      <c r="D70" s="390"/>
      <c r="E70" s="390"/>
      <c r="F70" s="390"/>
      <c r="G70" s="390"/>
      <c r="H70" s="390"/>
      <c r="I70" s="390"/>
      <c r="J70" s="390"/>
      <c r="K70" s="390"/>
      <c r="L70" s="390"/>
      <c r="M70" s="390"/>
      <c r="N70" s="390"/>
      <c r="O70" s="390"/>
      <c r="P70" s="390"/>
      <c r="Q70" s="390"/>
      <c r="R70" s="390"/>
      <c r="S70" s="390"/>
      <c r="T70" s="390"/>
      <c r="U70" s="390"/>
      <c r="V70" s="390"/>
      <c r="W70" s="390"/>
      <c r="X70" s="390"/>
      <c r="Y70" s="390"/>
      <c r="Z70" s="390"/>
      <c r="AA70" s="391"/>
      <c r="AB70" s="392" t="str">
        <f>[4]C.UNIT.SERV.!$E$5</f>
        <v>DATA-BASE:      MAIO/2011/PR</v>
      </c>
      <c r="AC70" s="393"/>
      <c r="AD70" s="393"/>
      <c r="AE70" s="393"/>
      <c r="AF70" s="393"/>
      <c r="AG70" s="393"/>
      <c r="AH70" s="393"/>
      <c r="AI70" s="394"/>
      <c r="AJ70" s="392"/>
      <c r="AK70" s="393"/>
      <c r="AL70" s="393"/>
      <c r="AM70" s="393"/>
      <c r="AN70" s="393"/>
      <c r="AO70" s="393"/>
      <c r="AP70" s="393"/>
      <c r="AQ70" s="393"/>
      <c r="AR70" s="401"/>
    </row>
    <row r="71" spans="3:44" ht="18" customHeight="1">
      <c r="C71" s="404" t="s">
        <v>101</v>
      </c>
      <c r="D71" s="405"/>
      <c r="E71" s="405"/>
      <c r="F71" s="405"/>
      <c r="G71" s="405" t="s">
        <v>283</v>
      </c>
      <c r="H71" s="405"/>
      <c r="I71" s="405"/>
      <c r="J71" s="405"/>
      <c r="K71" s="405"/>
      <c r="L71" s="405"/>
      <c r="M71" s="405"/>
      <c r="N71" s="405"/>
      <c r="O71" s="405"/>
      <c r="P71" s="405"/>
      <c r="Q71" s="405"/>
      <c r="R71" s="405"/>
      <c r="S71" s="405"/>
      <c r="T71" s="405"/>
      <c r="U71" s="405"/>
      <c r="V71" s="405"/>
      <c r="W71" s="405"/>
      <c r="X71" s="405"/>
      <c r="Y71" s="405"/>
      <c r="Z71" s="405"/>
      <c r="AA71" s="406"/>
      <c r="AB71" s="395"/>
      <c r="AC71" s="396"/>
      <c r="AD71" s="396"/>
      <c r="AE71" s="396"/>
      <c r="AF71" s="396"/>
      <c r="AG71" s="396"/>
      <c r="AH71" s="396"/>
      <c r="AI71" s="397"/>
      <c r="AJ71" s="395"/>
      <c r="AK71" s="396"/>
      <c r="AL71" s="396"/>
      <c r="AM71" s="396"/>
      <c r="AN71" s="396"/>
      <c r="AO71" s="396"/>
      <c r="AP71" s="396"/>
      <c r="AQ71" s="396"/>
      <c r="AR71" s="402"/>
    </row>
    <row r="72" spans="3:44" ht="18" customHeight="1">
      <c r="C72" s="404" t="s">
        <v>102</v>
      </c>
      <c r="D72" s="405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5"/>
      <c r="Q72" s="405"/>
      <c r="R72" s="405"/>
      <c r="S72" s="405"/>
      <c r="T72" s="405"/>
      <c r="U72" s="405"/>
      <c r="V72" s="405"/>
      <c r="W72" s="405"/>
      <c r="X72" s="405"/>
      <c r="Y72" s="405"/>
      <c r="Z72" s="405"/>
      <c r="AA72" s="406"/>
      <c r="AB72" s="395"/>
      <c r="AC72" s="396"/>
      <c r="AD72" s="396"/>
      <c r="AE72" s="396"/>
      <c r="AF72" s="396"/>
      <c r="AG72" s="396"/>
      <c r="AH72" s="396"/>
      <c r="AI72" s="397"/>
      <c r="AJ72" s="395"/>
      <c r="AK72" s="396"/>
      <c r="AL72" s="396"/>
      <c r="AM72" s="396"/>
      <c r="AN72" s="396"/>
      <c r="AO72" s="396"/>
      <c r="AP72" s="396"/>
      <c r="AQ72" s="396"/>
      <c r="AR72" s="402"/>
    </row>
    <row r="73" spans="3:44" ht="18" customHeight="1">
      <c r="C73" s="407"/>
      <c r="D73" s="408"/>
      <c r="E73" s="408"/>
      <c r="F73" s="408"/>
      <c r="G73" s="408"/>
      <c r="H73" s="408"/>
      <c r="I73" s="408"/>
      <c r="J73" s="408"/>
      <c r="K73" s="408"/>
      <c r="L73" s="408"/>
      <c r="M73" s="408"/>
      <c r="N73" s="408"/>
      <c r="O73" s="408"/>
      <c r="P73" s="408"/>
      <c r="Q73" s="408"/>
      <c r="R73" s="408"/>
      <c r="S73" s="408"/>
      <c r="T73" s="408"/>
      <c r="U73" s="408"/>
      <c r="V73" s="408"/>
      <c r="W73" s="408"/>
      <c r="X73" s="408"/>
      <c r="Y73" s="408"/>
      <c r="Z73" s="408"/>
      <c r="AA73" s="408"/>
      <c r="AB73" s="398"/>
      <c r="AC73" s="399"/>
      <c r="AD73" s="399"/>
      <c r="AE73" s="399"/>
      <c r="AF73" s="399"/>
      <c r="AG73" s="399"/>
      <c r="AH73" s="399"/>
      <c r="AI73" s="400"/>
      <c r="AJ73" s="398"/>
      <c r="AK73" s="399"/>
      <c r="AL73" s="399"/>
      <c r="AM73" s="399"/>
      <c r="AN73" s="399"/>
      <c r="AO73" s="399"/>
      <c r="AP73" s="399"/>
      <c r="AQ73" s="399"/>
      <c r="AR73" s="403"/>
    </row>
  </sheetData>
  <mergeCells count="343">
    <mergeCell ref="G71:AA71"/>
    <mergeCell ref="C72:F72"/>
    <mergeCell ref="G72:AA72"/>
    <mergeCell ref="C73:AA73"/>
    <mergeCell ref="AC66:AR66"/>
    <mergeCell ref="C67:H67"/>
    <mergeCell ref="I67:J67"/>
    <mergeCell ref="K67:Z67"/>
    <mergeCell ref="AA67:AB67"/>
    <mergeCell ref="AC67:AR67"/>
    <mergeCell ref="C68:H68"/>
    <mergeCell ref="I68:J68"/>
    <mergeCell ref="K68:Z68"/>
    <mergeCell ref="AA68:AB68"/>
    <mergeCell ref="AC68:AR68"/>
    <mergeCell ref="C70:F70"/>
    <mergeCell ref="G70:AA70"/>
    <mergeCell ref="AB70:AI73"/>
    <mergeCell ref="AJ70:AR73"/>
    <mergeCell ref="C71:F71"/>
    <mergeCell ref="C65:H65"/>
    <mergeCell ref="I65:J65"/>
    <mergeCell ref="K65:Z65"/>
    <mergeCell ref="AA65:AB65"/>
    <mergeCell ref="AC65:AR65"/>
    <mergeCell ref="C66:H66"/>
    <mergeCell ref="I66:J66"/>
    <mergeCell ref="K66:Z66"/>
    <mergeCell ref="AA66:AB66"/>
    <mergeCell ref="A61:B61"/>
    <mergeCell ref="Y61:AN61"/>
    <mergeCell ref="AO61:AR61"/>
    <mergeCell ref="C63:H63"/>
    <mergeCell ref="I63:J63"/>
    <mergeCell ref="K63:Z63"/>
    <mergeCell ref="AA63:AB63"/>
    <mergeCell ref="AC63:AR63"/>
    <mergeCell ref="AC64:AR64"/>
    <mergeCell ref="C64:H64"/>
    <mergeCell ref="I64:J64"/>
    <mergeCell ref="K64:Z64"/>
    <mergeCell ref="AA64:AB64"/>
    <mergeCell ref="C57:X57"/>
    <mergeCell ref="Y57:AN57"/>
    <mergeCell ref="AO57:AR57"/>
    <mergeCell ref="C59:X61"/>
    <mergeCell ref="Y59:AN59"/>
    <mergeCell ref="AO59:AR59"/>
    <mergeCell ref="Y60:AG60"/>
    <mergeCell ref="AH60:AN60"/>
    <mergeCell ref="AO60:AR60"/>
    <mergeCell ref="C56:E56"/>
    <mergeCell ref="F56:R56"/>
    <mergeCell ref="S56:U56"/>
    <mergeCell ref="V56:X56"/>
    <mergeCell ref="Y56:AD56"/>
    <mergeCell ref="AE56:AG56"/>
    <mergeCell ref="AH56:AJ56"/>
    <mergeCell ref="AK56:AN56"/>
    <mergeCell ref="AO56:AR56"/>
    <mergeCell ref="C55:E55"/>
    <mergeCell ref="F55:R55"/>
    <mergeCell ref="S55:U55"/>
    <mergeCell ref="V55:X55"/>
    <mergeCell ref="Y55:AD55"/>
    <mergeCell ref="AE55:AG55"/>
    <mergeCell ref="AH55:AJ55"/>
    <mergeCell ref="AK55:AN55"/>
    <mergeCell ref="AO55:AR55"/>
    <mergeCell ref="C54:E54"/>
    <mergeCell ref="F54:R54"/>
    <mergeCell ref="S54:U54"/>
    <mergeCell ref="V54:X54"/>
    <mergeCell ref="Y54:AD54"/>
    <mergeCell ref="AE54:AG54"/>
    <mergeCell ref="AH54:AJ54"/>
    <mergeCell ref="AK54:AN54"/>
    <mergeCell ref="AO54:AR54"/>
    <mergeCell ref="C53:E53"/>
    <mergeCell ref="F53:R53"/>
    <mergeCell ref="S53:U53"/>
    <mergeCell ref="V53:X53"/>
    <mergeCell ref="Y53:AD53"/>
    <mergeCell ref="AE53:AG53"/>
    <mergeCell ref="AH53:AJ53"/>
    <mergeCell ref="AK53:AN53"/>
    <mergeCell ref="AO53:AR53"/>
    <mergeCell ref="C52:E52"/>
    <mergeCell ref="F52:R52"/>
    <mergeCell ref="S52:U52"/>
    <mergeCell ref="V52:X52"/>
    <mergeCell ref="Y52:AD52"/>
    <mergeCell ref="AE52:AG52"/>
    <mergeCell ref="AH52:AJ52"/>
    <mergeCell ref="AK52:AN52"/>
    <mergeCell ref="AO52:AR52"/>
    <mergeCell ref="C51:E51"/>
    <mergeCell ref="F51:R51"/>
    <mergeCell ref="S51:U51"/>
    <mergeCell ref="V51:X51"/>
    <mergeCell ref="Y51:AD51"/>
    <mergeCell ref="AE51:AG51"/>
    <mergeCell ref="AH51:AJ51"/>
    <mergeCell ref="AK51:AN51"/>
    <mergeCell ref="AO51:AR51"/>
    <mergeCell ref="C50:E50"/>
    <mergeCell ref="F50:R50"/>
    <mergeCell ref="S50:U50"/>
    <mergeCell ref="V50:X50"/>
    <mergeCell ref="Y50:AD50"/>
    <mergeCell ref="AE50:AG50"/>
    <mergeCell ref="AH50:AJ50"/>
    <mergeCell ref="AK50:AN50"/>
    <mergeCell ref="AO50:AR50"/>
    <mergeCell ref="C49:E49"/>
    <mergeCell ref="F49:R49"/>
    <mergeCell ref="S49:U49"/>
    <mergeCell ref="V49:X49"/>
    <mergeCell ref="Y49:AD49"/>
    <mergeCell ref="AE49:AG49"/>
    <mergeCell ref="AH49:AJ49"/>
    <mergeCell ref="AK49:AN49"/>
    <mergeCell ref="AO49:AR49"/>
    <mergeCell ref="C45:X45"/>
    <mergeCell ref="Y45:AN45"/>
    <mergeCell ref="AO45:AR45"/>
    <mergeCell ref="C47:E48"/>
    <mergeCell ref="F47:R48"/>
    <mergeCell ref="S47:U48"/>
    <mergeCell ref="V47:X48"/>
    <mergeCell ref="Y47:AD48"/>
    <mergeCell ref="AE47:AG48"/>
    <mergeCell ref="AH47:AJ48"/>
    <mergeCell ref="AK47:AN48"/>
    <mergeCell ref="AO47:AR48"/>
    <mergeCell ref="C43:E43"/>
    <mergeCell ref="F43:AB43"/>
    <mergeCell ref="AC43:AF43"/>
    <mergeCell ref="AG43:AJ43"/>
    <mergeCell ref="AK43:AN43"/>
    <mergeCell ref="AO43:AR43"/>
    <mergeCell ref="C44:E44"/>
    <mergeCell ref="F44:AB44"/>
    <mergeCell ref="AC44:AF44"/>
    <mergeCell ref="AG44:AJ44"/>
    <mergeCell ref="AK44:AN44"/>
    <mergeCell ref="AO44:AR44"/>
    <mergeCell ref="C41:E41"/>
    <mergeCell ref="F41:AB41"/>
    <mergeCell ref="AC41:AF41"/>
    <mergeCell ref="AG41:AJ41"/>
    <mergeCell ref="AK41:AN41"/>
    <mergeCell ref="AO41:AR41"/>
    <mergeCell ref="C42:E42"/>
    <mergeCell ref="F42:AB42"/>
    <mergeCell ref="AC42:AF42"/>
    <mergeCell ref="AG42:AJ42"/>
    <mergeCell ref="AK42:AN42"/>
    <mergeCell ref="AO42:AR42"/>
    <mergeCell ref="C39:E39"/>
    <mergeCell ref="F39:AB39"/>
    <mergeCell ref="AC39:AF39"/>
    <mergeCell ref="AG39:AJ39"/>
    <mergeCell ref="AK39:AN39"/>
    <mergeCell ref="AO39:AR39"/>
    <mergeCell ref="C40:E40"/>
    <mergeCell ref="F40:AB40"/>
    <mergeCell ref="AC40:AF40"/>
    <mergeCell ref="AG40:AJ40"/>
    <mergeCell ref="AK40:AN40"/>
    <mergeCell ref="AO40:AR40"/>
    <mergeCell ref="C37:E37"/>
    <mergeCell ref="F37:AB37"/>
    <mergeCell ref="AC37:AF37"/>
    <mergeCell ref="AG37:AJ37"/>
    <mergeCell ref="AK37:AN37"/>
    <mergeCell ref="AO37:AR37"/>
    <mergeCell ref="C38:E38"/>
    <mergeCell ref="F38:AB38"/>
    <mergeCell ref="AC38:AF38"/>
    <mergeCell ref="AG38:AJ38"/>
    <mergeCell ref="AK38:AN38"/>
    <mergeCell ref="AO38:AR38"/>
    <mergeCell ref="C33:P33"/>
    <mergeCell ref="Q33:U33"/>
    <mergeCell ref="V33:X33"/>
    <mergeCell ref="Y33:AN33"/>
    <mergeCell ref="AO33:AR33"/>
    <mergeCell ref="C35:E36"/>
    <mergeCell ref="F35:AB36"/>
    <mergeCell ref="AC35:AF36"/>
    <mergeCell ref="AG35:AJ36"/>
    <mergeCell ref="AK35:AN36"/>
    <mergeCell ref="AO35:AR36"/>
    <mergeCell ref="C29:X29"/>
    <mergeCell ref="Y29:AF29"/>
    <mergeCell ref="AG29:AJ29"/>
    <mergeCell ref="AK29:AN29"/>
    <mergeCell ref="AO29:AR29"/>
    <mergeCell ref="C30:X30"/>
    <mergeCell ref="Y30:AN30"/>
    <mergeCell ref="AO30:AR30"/>
    <mergeCell ref="C32:X32"/>
    <mergeCell ref="Y32:AN32"/>
    <mergeCell ref="AO32:AR32"/>
    <mergeCell ref="C27:E27"/>
    <mergeCell ref="F27:AB27"/>
    <mergeCell ref="AC27:AF27"/>
    <mergeCell ref="AG27:AJ27"/>
    <mergeCell ref="AK27:AN27"/>
    <mergeCell ref="AO27:AR27"/>
    <mergeCell ref="C28:E28"/>
    <mergeCell ref="F28:AB28"/>
    <mergeCell ref="AC28:AF28"/>
    <mergeCell ref="AG28:AJ28"/>
    <mergeCell ref="AK28:AN28"/>
    <mergeCell ref="AO28:AR28"/>
    <mergeCell ref="C25:E25"/>
    <mergeCell ref="F25:AB25"/>
    <mergeCell ref="AC25:AF25"/>
    <mergeCell ref="AG25:AJ25"/>
    <mergeCell ref="AK25:AN25"/>
    <mergeCell ref="AO25:AR25"/>
    <mergeCell ref="C26:E26"/>
    <mergeCell ref="F26:AB26"/>
    <mergeCell ref="AC26:AF26"/>
    <mergeCell ref="AG26:AJ26"/>
    <mergeCell ref="AK26:AN26"/>
    <mergeCell ref="AO26:AR26"/>
    <mergeCell ref="C23:E23"/>
    <mergeCell ref="F23:AB23"/>
    <mergeCell ref="AC23:AF23"/>
    <mergeCell ref="AG23:AJ23"/>
    <mergeCell ref="AK23:AN23"/>
    <mergeCell ref="AO23:AR23"/>
    <mergeCell ref="C24:E24"/>
    <mergeCell ref="F24:AB24"/>
    <mergeCell ref="AC24:AF24"/>
    <mergeCell ref="AG24:AJ24"/>
    <mergeCell ref="AK24:AN24"/>
    <mergeCell ref="AO24:AR24"/>
    <mergeCell ref="C21:E21"/>
    <mergeCell ref="F21:AB21"/>
    <mergeCell ref="AC21:AF21"/>
    <mergeCell ref="AG21:AJ21"/>
    <mergeCell ref="AK21:AN21"/>
    <mergeCell ref="AO21:AR21"/>
    <mergeCell ref="C22:E22"/>
    <mergeCell ref="F22:AB22"/>
    <mergeCell ref="AC22:AF22"/>
    <mergeCell ref="AG22:AJ22"/>
    <mergeCell ref="AK22:AN22"/>
    <mergeCell ref="AO22:AR22"/>
    <mergeCell ref="C17:X17"/>
    <mergeCell ref="Y17:AN17"/>
    <mergeCell ref="AO17:AR17"/>
    <mergeCell ref="C19:E20"/>
    <mergeCell ref="F19:AB20"/>
    <mergeCell ref="AC19:AF20"/>
    <mergeCell ref="AG19:AJ20"/>
    <mergeCell ref="AK19:AN20"/>
    <mergeCell ref="AO19:AR20"/>
    <mergeCell ref="C15:E15"/>
    <mergeCell ref="F15:U15"/>
    <mergeCell ref="V15:X15"/>
    <mergeCell ref="Y15:AB15"/>
    <mergeCell ref="AC15:AF15"/>
    <mergeCell ref="AG15:AJ15"/>
    <mergeCell ref="AK15:AN15"/>
    <mergeCell ref="AO15:AR15"/>
    <mergeCell ref="C16:E16"/>
    <mergeCell ref="F16:U16"/>
    <mergeCell ref="V16:X16"/>
    <mergeCell ref="Y16:AB16"/>
    <mergeCell ref="AC16:AF16"/>
    <mergeCell ref="AG16:AJ16"/>
    <mergeCell ref="AK16:AN16"/>
    <mergeCell ref="AO16:AR16"/>
    <mergeCell ref="C13:E13"/>
    <mergeCell ref="F13:U13"/>
    <mergeCell ref="V13:X13"/>
    <mergeCell ref="Y13:AB13"/>
    <mergeCell ref="AC13:AF13"/>
    <mergeCell ref="AG13:AJ13"/>
    <mergeCell ref="AK13:AN13"/>
    <mergeCell ref="AO13:AR13"/>
    <mergeCell ref="C14:E14"/>
    <mergeCell ref="F14:U14"/>
    <mergeCell ref="V14:X14"/>
    <mergeCell ref="Y14:AB14"/>
    <mergeCell ref="AC14:AF14"/>
    <mergeCell ref="AG14:AJ14"/>
    <mergeCell ref="AK14:AN14"/>
    <mergeCell ref="AO14:AR14"/>
    <mergeCell ref="C11:E11"/>
    <mergeCell ref="F11:U11"/>
    <mergeCell ref="V11:X11"/>
    <mergeCell ref="Y11:AB11"/>
    <mergeCell ref="AC11:AF11"/>
    <mergeCell ref="AG11:AJ11"/>
    <mergeCell ref="AK11:AN11"/>
    <mergeCell ref="AO11:AR11"/>
    <mergeCell ref="C12:E12"/>
    <mergeCell ref="F12:U12"/>
    <mergeCell ref="V12:X12"/>
    <mergeCell ref="Y12:AB12"/>
    <mergeCell ref="AC12:AF12"/>
    <mergeCell ref="AG12:AJ12"/>
    <mergeCell ref="AK12:AN12"/>
    <mergeCell ref="AO12:AR12"/>
    <mergeCell ref="C9:E9"/>
    <mergeCell ref="F9:U9"/>
    <mergeCell ref="V9:X9"/>
    <mergeCell ref="Y9:AB9"/>
    <mergeCell ref="AC9:AF9"/>
    <mergeCell ref="AG9:AJ9"/>
    <mergeCell ref="AK9:AN9"/>
    <mergeCell ref="AO9:AR9"/>
    <mergeCell ref="C10:E10"/>
    <mergeCell ref="F10:U10"/>
    <mergeCell ref="V10:X10"/>
    <mergeCell ref="Y10:AB10"/>
    <mergeCell ref="AC10:AF10"/>
    <mergeCell ref="AG10:AJ10"/>
    <mergeCell ref="AK10:AN10"/>
    <mergeCell ref="AO10:AR10"/>
    <mergeCell ref="C2:AR3"/>
    <mergeCell ref="C4:F5"/>
    <mergeCell ref="G4:J5"/>
    <mergeCell ref="K4:N5"/>
    <mergeCell ref="O4:AK5"/>
    <mergeCell ref="AL4:AO5"/>
    <mergeCell ref="AP4:AR5"/>
    <mergeCell ref="C7:E8"/>
    <mergeCell ref="F7:U8"/>
    <mergeCell ref="V7:X8"/>
    <mergeCell ref="Y7:AF7"/>
    <mergeCell ref="AG7:AN7"/>
    <mergeCell ref="AO7:AR8"/>
    <mergeCell ref="Y8:AB8"/>
    <mergeCell ref="AC8:AF8"/>
    <mergeCell ref="AG8:AJ8"/>
    <mergeCell ref="AK8:AN8"/>
  </mergeCells>
  <printOptions horizontalCentered="1" verticalCentered="1"/>
  <pageMargins left="0.78740157480314965" right="0.59055118110236227" top="0.78740157480314965" bottom="0.39370078740157483" header="0" footer="0"/>
  <pageSetup paperSize="9" scale="51" orientation="portrait" horizontalDpi="4294967294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63"/>
  <sheetViews>
    <sheetView view="pageBreakPreview" workbookViewId="0">
      <selection activeCell="B57" sqref="B57"/>
    </sheetView>
  </sheetViews>
  <sheetFormatPr defaultColWidth="8.85546875" defaultRowHeight="11.25"/>
  <cols>
    <col min="1" max="1" width="10.7109375" style="70" customWidth="1"/>
    <col min="2" max="2" width="40.7109375" style="75" customWidth="1"/>
    <col min="3" max="4" width="12.7109375" style="200" customWidth="1"/>
    <col min="5" max="16384" width="8.85546875" style="75"/>
  </cols>
  <sheetData>
    <row r="1" spans="1:4" s="70" customFormat="1" ht="15" customHeight="1">
      <c r="A1" s="69"/>
      <c r="B1" s="180" t="s">
        <v>791</v>
      </c>
      <c r="C1" s="181">
        <v>40664</v>
      </c>
      <c r="D1" s="182"/>
    </row>
    <row r="2" spans="1:4" s="70" customFormat="1" ht="12" thickBot="1">
      <c r="A2" s="71" t="s">
        <v>43</v>
      </c>
      <c r="B2" s="72" t="s">
        <v>792</v>
      </c>
      <c r="C2" s="183" t="s">
        <v>793</v>
      </c>
      <c r="D2" s="184" t="s">
        <v>794</v>
      </c>
    </row>
    <row r="3" spans="1:4" s="70" customFormat="1">
      <c r="A3" s="73" t="s">
        <v>795</v>
      </c>
      <c r="B3" s="74" t="s">
        <v>796</v>
      </c>
      <c r="C3" s="185">
        <v>2.9</v>
      </c>
      <c r="D3" s="186">
        <f>ROUNDUP(($C$50*(1+$C$48)*C3)/$C$49,2)</f>
        <v>16.260000000000002</v>
      </c>
    </row>
    <row r="4" spans="1:4">
      <c r="A4" s="73" t="s">
        <v>797</v>
      </c>
      <c r="B4" s="74" t="s">
        <v>798</v>
      </c>
      <c r="C4" s="187">
        <v>3.2</v>
      </c>
      <c r="D4" s="186">
        <f>ROUND(($C$50*(1+$C$48)*C4)/$C$49,2)</f>
        <v>17.940000000000001</v>
      </c>
    </row>
    <row r="5" spans="1:4">
      <c r="A5" s="76" t="s">
        <v>799</v>
      </c>
      <c r="B5" s="77" t="s">
        <v>800</v>
      </c>
      <c r="C5" s="185">
        <v>2.7</v>
      </c>
      <c r="D5" s="186">
        <f t="shared" ref="D5:D24" si="0">ROUNDUP(($C$50*(1+$C$48)*C5)/$C$49,2)</f>
        <v>15.14</v>
      </c>
    </row>
    <row r="6" spans="1:4">
      <c r="A6" s="76" t="s">
        <v>801</v>
      </c>
      <c r="B6" s="77" t="s">
        <v>802</v>
      </c>
      <c r="C6" s="185">
        <v>3.7</v>
      </c>
      <c r="D6" s="186">
        <f t="shared" si="0"/>
        <v>20.75</v>
      </c>
    </row>
    <row r="7" spans="1:4">
      <c r="A7" s="76" t="s">
        <v>803</v>
      </c>
      <c r="B7" s="77" t="s">
        <v>804</v>
      </c>
      <c r="C7" s="185">
        <v>3.7</v>
      </c>
      <c r="D7" s="186">
        <f t="shared" si="0"/>
        <v>20.75</v>
      </c>
    </row>
    <row r="8" spans="1:4">
      <c r="A8" s="76" t="s">
        <v>805</v>
      </c>
      <c r="B8" s="77" t="s">
        <v>105</v>
      </c>
      <c r="C8" s="185">
        <v>4.0999999999999996</v>
      </c>
      <c r="D8" s="186">
        <f t="shared" si="0"/>
        <v>22.990000000000002</v>
      </c>
    </row>
    <row r="9" spans="1:4">
      <c r="A9" s="76" t="s">
        <v>806</v>
      </c>
      <c r="B9" s="77" t="s">
        <v>395</v>
      </c>
      <c r="C9" s="185">
        <v>7</v>
      </c>
      <c r="D9" s="186">
        <f t="shared" si="0"/>
        <v>39.25</v>
      </c>
    </row>
    <row r="10" spans="1:4">
      <c r="A10" s="76" t="s">
        <v>807</v>
      </c>
      <c r="B10" s="77" t="s">
        <v>808</v>
      </c>
      <c r="C10" s="185">
        <v>7</v>
      </c>
      <c r="D10" s="186">
        <f t="shared" si="0"/>
        <v>39.25</v>
      </c>
    </row>
    <row r="11" spans="1:4">
      <c r="A11" s="76" t="s">
        <v>809</v>
      </c>
      <c r="B11" s="77" t="s">
        <v>810</v>
      </c>
      <c r="C11" s="185">
        <v>4.0999999999999996</v>
      </c>
      <c r="D11" s="186">
        <f t="shared" si="0"/>
        <v>22.990000000000002</v>
      </c>
    </row>
    <row r="12" spans="1:4">
      <c r="A12" s="76" t="s">
        <v>811</v>
      </c>
      <c r="B12" s="77" t="s">
        <v>494</v>
      </c>
      <c r="C12" s="185">
        <v>1.99</v>
      </c>
      <c r="D12" s="186">
        <f t="shared" si="0"/>
        <v>11.16</v>
      </c>
    </row>
    <row r="13" spans="1:4">
      <c r="A13" s="76" t="s">
        <v>812</v>
      </c>
      <c r="B13" s="77" t="s">
        <v>813</v>
      </c>
      <c r="C13" s="185">
        <v>1.99</v>
      </c>
      <c r="D13" s="186">
        <f t="shared" si="0"/>
        <v>11.16</v>
      </c>
    </row>
    <row r="14" spans="1:4">
      <c r="A14" s="76" t="s">
        <v>814</v>
      </c>
      <c r="B14" s="77" t="s">
        <v>815</v>
      </c>
      <c r="C14" s="185">
        <v>1.99</v>
      </c>
      <c r="D14" s="186">
        <f t="shared" si="0"/>
        <v>11.16</v>
      </c>
    </row>
    <row r="15" spans="1:4">
      <c r="A15" s="76" t="s">
        <v>816</v>
      </c>
      <c r="B15" s="77" t="s">
        <v>123</v>
      </c>
      <c r="C15" s="185">
        <v>1.99</v>
      </c>
      <c r="D15" s="186">
        <f t="shared" si="0"/>
        <v>11.16</v>
      </c>
    </row>
    <row r="16" spans="1:4">
      <c r="A16" s="76" t="s">
        <v>817</v>
      </c>
      <c r="B16" s="77" t="s">
        <v>818</v>
      </c>
      <c r="C16" s="185">
        <v>1.99</v>
      </c>
      <c r="D16" s="186">
        <f t="shared" si="0"/>
        <v>11.16</v>
      </c>
    </row>
    <row r="17" spans="1:4">
      <c r="A17" s="76" t="s">
        <v>819</v>
      </c>
      <c r="B17" s="77" t="s">
        <v>820</v>
      </c>
      <c r="C17" s="185">
        <v>1.99</v>
      </c>
      <c r="D17" s="186">
        <f t="shared" si="0"/>
        <v>11.16</v>
      </c>
    </row>
    <row r="18" spans="1:4">
      <c r="A18" s="76" t="s">
        <v>821</v>
      </c>
      <c r="B18" s="77" t="s">
        <v>399</v>
      </c>
      <c r="C18" s="185">
        <v>1.99</v>
      </c>
      <c r="D18" s="186">
        <f t="shared" si="0"/>
        <v>11.16</v>
      </c>
    </row>
    <row r="19" spans="1:4">
      <c r="A19" s="76" t="s">
        <v>822</v>
      </c>
      <c r="B19" s="77" t="s">
        <v>823</v>
      </c>
      <c r="C19" s="185">
        <v>1.99</v>
      </c>
      <c r="D19" s="186">
        <f t="shared" si="0"/>
        <v>11.16</v>
      </c>
    </row>
    <row r="20" spans="1:4">
      <c r="A20" s="76" t="s">
        <v>824</v>
      </c>
      <c r="B20" s="77" t="s">
        <v>106</v>
      </c>
      <c r="C20" s="185">
        <v>1.41</v>
      </c>
      <c r="D20" s="186">
        <f t="shared" si="0"/>
        <v>7.91</v>
      </c>
    </row>
    <row r="21" spans="1:4">
      <c r="A21" s="76" t="s">
        <v>825</v>
      </c>
      <c r="B21" s="77" t="s">
        <v>826</v>
      </c>
      <c r="C21" s="185">
        <v>1</v>
      </c>
      <c r="D21" s="186">
        <f t="shared" si="0"/>
        <v>5.6099999999999994</v>
      </c>
    </row>
    <row r="22" spans="1:4">
      <c r="A22" s="76" t="s">
        <v>827</v>
      </c>
      <c r="B22" s="77" t="s">
        <v>128</v>
      </c>
      <c r="C22" s="185">
        <v>1.54</v>
      </c>
      <c r="D22" s="186">
        <f t="shared" si="0"/>
        <v>8.64</v>
      </c>
    </row>
    <row r="23" spans="1:4">
      <c r="A23" s="76" t="s">
        <v>828</v>
      </c>
      <c r="B23" s="77" t="s">
        <v>829</v>
      </c>
      <c r="C23" s="185">
        <v>2.8</v>
      </c>
      <c r="D23" s="186">
        <f t="shared" si="0"/>
        <v>15.7</v>
      </c>
    </row>
    <row r="24" spans="1:4">
      <c r="A24" s="76" t="s">
        <v>830</v>
      </c>
      <c r="B24" s="77" t="s">
        <v>831</v>
      </c>
      <c r="C24" s="188">
        <v>1</v>
      </c>
      <c r="D24" s="186">
        <f t="shared" si="0"/>
        <v>5.6099999999999994</v>
      </c>
    </row>
    <row r="25" spans="1:4">
      <c r="A25" s="76" t="s">
        <v>832</v>
      </c>
      <c r="B25" s="77" t="s">
        <v>833</v>
      </c>
      <c r="C25" s="188">
        <v>1</v>
      </c>
      <c r="D25" s="186">
        <f>ROUND(($C$39*(1+$C$48)*C25)/$C$49,2)</f>
        <v>31.78</v>
      </c>
    </row>
    <row r="26" spans="1:4">
      <c r="A26" s="76" t="s">
        <v>834</v>
      </c>
      <c r="B26" s="77" t="s">
        <v>835</v>
      </c>
      <c r="C26" s="188">
        <v>1</v>
      </c>
      <c r="D26" s="186">
        <f>ROUND(($C$36*(1+$C$48)*C26)/$C$49,2)</f>
        <v>18.690000000000001</v>
      </c>
    </row>
    <row r="27" spans="1:4">
      <c r="A27" s="76" t="s">
        <v>836</v>
      </c>
      <c r="B27" s="78" t="s">
        <v>837</v>
      </c>
      <c r="C27" s="188">
        <v>1</v>
      </c>
      <c r="D27" s="186">
        <f>ROUND(($C$43*(1+$C$48)*C27)/$C$49,2)</f>
        <v>13.08</v>
      </c>
    </row>
    <row r="28" spans="1:4">
      <c r="A28" s="76" t="s">
        <v>838</v>
      </c>
      <c r="B28" s="78" t="s">
        <v>839</v>
      </c>
      <c r="C28" s="188">
        <v>1</v>
      </c>
      <c r="D28" s="186">
        <f>ROUND(($C$40*(1+$C$48)*C28)/$C$49,2)</f>
        <v>11.22</v>
      </c>
    </row>
    <row r="29" spans="1:4">
      <c r="A29" s="76" t="s">
        <v>840</v>
      </c>
      <c r="B29" s="79" t="s">
        <v>841</v>
      </c>
      <c r="C29" s="188">
        <v>1</v>
      </c>
      <c r="D29" s="186">
        <f>ROUND(($C$37*(1+$C$48)*C29)/$C$49,2)</f>
        <v>7.48</v>
      </c>
    </row>
    <row r="30" spans="1:4">
      <c r="A30" s="76" t="s">
        <v>842</v>
      </c>
      <c r="B30" s="79" t="s">
        <v>843</v>
      </c>
      <c r="C30" s="188">
        <v>1</v>
      </c>
      <c r="D30" s="186">
        <f>ROUND(($C$38*(1+$C$48)*C30)/$C$49,2)</f>
        <v>76.17</v>
      </c>
    </row>
    <row r="31" spans="1:4">
      <c r="A31" s="76" t="s">
        <v>844</v>
      </c>
      <c r="B31" s="79" t="s">
        <v>845</v>
      </c>
      <c r="C31" s="188">
        <v>1</v>
      </c>
      <c r="D31" s="186">
        <f>ROUND(($C$39*(1+$C$48)*C31)/$C$49,2)</f>
        <v>31.78</v>
      </c>
    </row>
    <row r="32" spans="1:4">
      <c r="A32" s="76" t="s">
        <v>846</v>
      </c>
      <c r="B32" s="79" t="s">
        <v>847</v>
      </c>
      <c r="C32" s="188">
        <v>1</v>
      </c>
      <c r="D32" s="186">
        <f>ROUND(($C$42*(1+$C$48)*C32)/$C$49,2)</f>
        <v>18.690000000000001</v>
      </c>
    </row>
    <row r="33" spans="1:4">
      <c r="A33" s="76" t="s">
        <v>848</v>
      </c>
      <c r="B33" s="79" t="s">
        <v>849</v>
      </c>
      <c r="C33" s="188">
        <v>1</v>
      </c>
      <c r="D33" s="186">
        <f>ROUND(($C$44*(1+$C$48)*C33)/$C$49,2)</f>
        <v>13.55</v>
      </c>
    </row>
    <row r="34" spans="1:4">
      <c r="A34" s="76" t="s">
        <v>850</v>
      </c>
      <c r="B34" s="79" t="s">
        <v>851</v>
      </c>
      <c r="C34" s="188">
        <v>1</v>
      </c>
      <c r="D34" s="186">
        <f>ROUND(($C$41*(1+$C$48)*C34)/$C$49,2)</f>
        <v>8.41</v>
      </c>
    </row>
    <row r="35" spans="1:4">
      <c r="A35" s="76"/>
      <c r="B35" s="79"/>
      <c r="C35" s="188"/>
      <c r="D35" s="189"/>
    </row>
    <row r="36" spans="1:4">
      <c r="A36" s="80"/>
      <c r="B36" s="79" t="s">
        <v>835</v>
      </c>
      <c r="C36" s="188">
        <v>1817.15</v>
      </c>
      <c r="D36" s="190"/>
    </row>
    <row r="37" spans="1:4">
      <c r="A37" s="76"/>
      <c r="B37" s="77" t="s">
        <v>841</v>
      </c>
      <c r="C37" s="185">
        <v>726.86</v>
      </c>
      <c r="D37" s="191"/>
    </row>
    <row r="38" spans="1:4">
      <c r="A38" s="76"/>
      <c r="B38" s="77" t="s">
        <v>843</v>
      </c>
      <c r="C38" s="185">
        <v>7404.87</v>
      </c>
      <c r="D38" s="191"/>
    </row>
    <row r="39" spans="1:4">
      <c r="A39" s="76"/>
      <c r="B39" s="77" t="s">
        <v>833</v>
      </c>
      <c r="C39" s="185">
        <v>3089.14</v>
      </c>
      <c r="D39" s="191"/>
    </row>
    <row r="40" spans="1:4">
      <c r="A40" s="76"/>
      <c r="B40" s="77" t="s">
        <v>839</v>
      </c>
      <c r="C40" s="185">
        <v>1090.28</v>
      </c>
      <c r="D40" s="191"/>
    </row>
    <row r="41" spans="1:4">
      <c r="A41" s="76"/>
      <c r="B41" s="77" t="s">
        <v>851</v>
      </c>
      <c r="C41" s="185">
        <v>817.72</v>
      </c>
      <c r="D41" s="191"/>
    </row>
    <row r="42" spans="1:4">
      <c r="A42" s="81"/>
      <c r="B42" s="77" t="s">
        <v>852</v>
      </c>
      <c r="C42" s="185">
        <v>1817.15</v>
      </c>
      <c r="D42" s="192"/>
    </row>
    <row r="43" spans="1:4">
      <c r="A43" s="81"/>
      <c r="B43" s="77" t="s">
        <v>837</v>
      </c>
      <c r="C43" s="185">
        <v>1272</v>
      </c>
      <c r="D43" s="192"/>
    </row>
    <row r="44" spans="1:4">
      <c r="A44" s="81"/>
      <c r="B44" s="77" t="s">
        <v>849</v>
      </c>
      <c r="C44" s="185">
        <v>1317.43</v>
      </c>
      <c r="D44" s="192"/>
    </row>
    <row r="45" spans="1:4">
      <c r="A45" s="81"/>
      <c r="B45" s="77"/>
      <c r="C45" s="185"/>
      <c r="D45" s="192"/>
    </row>
    <row r="46" spans="1:4" ht="12" thickBot="1">
      <c r="A46" s="81"/>
      <c r="B46" s="82"/>
      <c r="C46" s="193"/>
      <c r="D46" s="192"/>
    </row>
    <row r="47" spans="1:4" ht="12" thickBot="1">
      <c r="A47" s="81"/>
      <c r="B47" s="872" t="s">
        <v>853</v>
      </c>
      <c r="C47" s="873"/>
      <c r="D47" s="192"/>
    </row>
    <row r="48" spans="1:4">
      <c r="A48" s="83"/>
      <c r="B48" s="84" t="s">
        <v>854</v>
      </c>
      <c r="C48" s="194">
        <v>1.2629999999999999</v>
      </c>
      <c r="D48" s="195"/>
    </row>
    <row r="49" spans="1:4">
      <c r="A49" s="83"/>
      <c r="B49" s="85" t="s">
        <v>855</v>
      </c>
      <c r="C49" s="196">
        <v>220</v>
      </c>
      <c r="D49" s="195"/>
    </row>
    <row r="50" spans="1:4" ht="12" thickBot="1">
      <c r="A50" s="83"/>
      <c r="B50" s="86" t="s">
        <v>77</v>
      </c>
      <c r="C50" s="197">
        <v>545</v>
      </c>
      <c r="D50" s="195"/>
    </row>
    <row r="51" spans="1:4">
      <c r="A51" s="76"/>
      <c r="B51" s="87"/>
      <c r="C51" s="198"/>
      <c r="D51" s="191"/>
    </row>
    <row r="52" spans="1:4">
      <c r="A52" s="76"/>
      <c r="B52" s="77"/>
      <c r="C52" s="185"/>
      <c r="D52" s="191"/>
    </row>
    <row r="53" spans="1:4">
      <c r="A53" s="76"/>
      <c r="B53" s="77"/>
      <c r="C53" s="185"/>
      <c r="D53" s="191"/>
    </row>
    <row r="54" spans="1:4">
      <c r="A54" s="76"/>
      <c r="B54" s="77"/>
      <c r="C54" s="185"/>
      <c r="D54" s="191"/>
    </row>
    <row r="55" spans="1:4">
      <c r="A55" s="76"/>
      <c r="B55" s="77"/>
      <c r="C55" s="185"/>
      <c r="D55" s="191"/>
    </row>
    <row r="56" spans="1:4">
      <c r="A56" s="76"/>
      <c r="B56" s="77"/>
      <c r="C56" s="185"/>
      <c r="D56" s="191"/>
    </row>
    <row r="57" spans="1:4">
      <c r="A57" s="76"/>
      <c r="B57" s="77"/>
      <c r="C57" s="185"/>
      <c r="D57" s="191"/>
    </row>
    <row r="58" spans="1:4">
      <c r="A58" s="76"/>
      <c r="B58" s="77"/>
      <c r="C58" s="185"/>
      <c r="D58" s="191"/>
    </row>
    <row r="59" spans="1:4">
      <c r="A59" s="76"/>
      <c r="B59" s="77"/>
      <c r="C59" s="185"/>
      <c r="D59" s="191"/>
    </row>
    <row r="60" spans="1:4">
      <c r="A60" s="76"/>
      <c r="B60" s="77"/>
      <c r="C60" s="185"/>
      <c r="D60" s="191"/>
    </row>
    <row r="61" spans="1:4">
      <c r="A61" s="76"/>
      <c r="B61" s="77"/>
      <c r="C61" s="185"/>
      <c r="D61" s="191"/>
    </row>
    <row r="62" spans="1:4">
      <c r="A62" s="76"/>
      <c r="B62" s="77"/>
      <c r="C62" s="185"/>
      <c r="D62" s="191"/>
    </row>
    <row r="63" spans="1:4" ht="12" thickBot="1">
      <c r="A63" s="88"/>
      <c r="B63" s="82"/>
      <c r="C63" s="193"/>
      <c r="D63" s="199"/>
    </row>
  </sheetData>
  <mergeCells count="1">
    <mergeCell ref="B47:C47"/>
  </mergeCells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13</vt:i4>
      </vt:variant>
    </vt:vector>
  </HeadingPairs>
  <TitlesOfParts>
    <vt:vector size="26" baseType="lpstr">
      <vt:lpstr>capa</vt:lpstr>
      <vt:lpstr>resumo </vt:lpstr>
      <vt:lpstr>demonstrativo</vt:lpstr>
      <vt:lpstr>Ilum mão de obra</vt:lpstr>
      <vt:lpstr>estrutura</vt:lpstr>
      <vt:lpstr>ter</vt:lpstr>
      <vt:lpstr>pav</vt:lpstr>
      <vt:lpstr>dre</vt:lpstr>
      <vt:lpstr>compl</vt:lpstr>
      <vt:lpstr>estrutura met</vt:lpstr>
      <vt:lpstr>hidro</vt:lpstr>
      <vt:lpstr>ilum publ</vt:lpstr>
      <vt:lpstr>MÃODEOBRA</vt:lpstr>
      <vt:lpstr>capa!Area_de_impressao</vt:lpstr>
      <vt:lpstr>compl!Area_de_impressao</vt:lpstr>
      <vt:lpstr>demonstrativo!Area_de_impressao</vt:lpstr>
      <vt:lpstr>dre!Area_de_impressao</vt:lpstr>
      <vt:lpstr>estrutura!Area_de_impressao</vt:lpstr>
      <vt:lpstr>'estrutura met'!Area_de_impressao</vt:lpstr>
      <vt:lpstr>hidro!Area_de_impressao</vt:lpstr>
      <vt:lpstr>'Ilum mão de obra'!Area_de_impressao</vt:lpstr>
      <vt:lpstr>'ilum publ'!Area_de_impressao</vt:lpstr>
      <vt:lpstr>pav!Area_de_impressao</vt:lpstr>
      <vt:lpstr>'resumo '!Area_de_impressao</vt:lpstr>
      <vt:lpstr>ter!Area_de_impressao</vt:lpstr>
      <vt:lpstr>'Ilum mão de obra'!Titulos_de_impressao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cpiedade</dc:creator>
  <cp:lastModifiedBy>werwr</cp:lastModifiedBy>
  <cp:lastPrinted>2012-01-27T17:54:47Z</cp:lastPrinted>
  <dcterms:created xsi:type="dcterms:W3CDTF">2009-11-12T10:50:07Z</dcterms:created>
  <dcterms:modified xsi:type="dcterms:W3CDTF">2013-02-19T18:26:54Z</dcterms:modified>
</cp:coreProperties>
</file>